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fsieb\Dropbox\MengPai2021\Excel\"/>
    </mc:Choice>
  </mc:AlternateContent>
  <xr:revisionPtr revIDLastSave="0" documentId="8_{46AADD95-A322-43A0-8FB6-2D0EAFC288EA}" xr6:coauthVersionLast="47" xr6:coauthVersionMax="47" xr10:uidLastSave="{00000000-0000-0000-0000-000000000000}"/>
  <bookViews>
    <workbookView xWindow="-120" yWindow="-120" windowWidth="29040" windowHeight="15840" xr2:uid="{00000000-000D-0000-FFFF-FFFF00000000}"/>
  </bookViews>
  <sheets>
    <sheet name="Bulletin de salaire" sheetId="1" r:id="rId1"/>
    <sheet name="Steuermodul 2017" sheetId="2" r:id="rId2"/>
    <sheet name="Credit d impot salaries 2017" sheetId="3" r:id="rId3"/>
    <sheet name="Sheet1" sheetId="4" r:id="rId4"/>
  </sheets>
  <externalReferences>
    <externalReference r:id="rId5"/>
  </externalReferences>
  <definedNames>
    <definedName name="_xlnm.Print_Area" localSheetId="0">'Bulletin de salaire'!$A$1:$G$59</definedName>
    <definedName name="_xlnm.Print_Area" localSheetId="3">Sheet1!$B$6:$D$25</definedName>
    <definedName name="Imposable">'Bulletin de salaire'!#REF!</definedName>
    <definedName name="Rp">'Bulletin de salaire'!#REF!</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3" i="2" l="1"/>
  <c r="G57" i="1"/>
  <c r="G50" i="1"/>
  <c r="D8" i="1" l="1"/>
  <c r="E11" i="1" s="1"/>
  <c r="G4" i="1"/>
  <c r="F3" i="1" s="1"/>
  <c r="N25" i="1"/>
  <c r="F6" i="1" s="1"/>
  <c r="G51" i="1" s="1"/>
  <c r="D8" i="4"/>
  <c r="D9" i="4"/>
  <c r="D10" i="4"/>
  <c r="D11" i="4"/>
  <c r="D12" i="4"/>
  <c r="D13" i="4"/>
  <c r="D14" i="4"/>
  <c r="D15" i="4"/>
  <c r="D16" i="4"/>
  <c r="D17" i="4"/>
  <c r="D18" i="4"/>
  <c r="D19" i="4"/>
  <c r="D20" i="4"/>
  <c r="D21" i="4"/>
  <c r="D22" i="4"/>
  <c r="D23" i="4"/>
  <c r="D24" i="4"/>
  <c r="D25" i="4"/>
  <c r="D7" i="4"/>
  <c r="I13" i="1"/>
  <c r="E6"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40" i="1"/>
  <c r="G40" i="1" s="1"/>
  <c r="AO48" i="1"/>
  <c r="C67" i="1"/>
  <c r="D67" i="1" s="1"/>
  <c r="F62" i="1" l="1"/>
  <c r="F63" i="1"/>
  <c r="F61" i="1"/>
  <c r="G42" i="1"/>
  <c r="G41" i="1"/>
  <c r="G38" i="1"/>
  <c r="G39" i="1"/>
  <c r="G44" i="1"/>
  <c r="F13" i="1"/>
  <c r="F11" i="1"/>
  <c r="G63" i="1" l="1"/>
  <c r="H63" i="1" s="1"/>
  <c r="F35" i="1" s="1"/>
  <c r="G35" i="1" s="1"/>
  <c r="G62" i="1"/>
  <c r="H62" i="1" s="1"/>
  <c r="G64" i="1"/>
  <c r="H64" i="1" s="1"/>
  <c r="F32" i="1"/>
  <c r="G32" i="1" s="1"/>
  <c r="F37" i="1"/>
  <c r="G37" i="1" s="1"/>
  <c r="C64" i="1"/>
  <c r="F12" i="1"/>
  <c r="F21" i="1"/>
  <c r="G21" i="1" s="1"/>
  <c r="G13" i="1"/>
  <c r="F14" i="1"/>
  <c r="F20" i="1"/>
  <c r="G20" i="1" s="1"/>
  <c r="F15" i="1"/>
  <c r="G15" i="1" s="1"/>
  <c r="F19" i="1"/>
  <c r="G19" i="1" s="1"/>
  <c r="F34" i="1"/>
  <c r="G34" i="1" s="1"/>
  <c r="F33" i="1"/>
  <c r="G33" i="1" s="1"/>
  <c r="C5" i="3"/>
  <c r="F31" i="1"/>
  <c r="G31" i="1" s="1"/>
  <c r="G11" i="1"/>
  <c r="C65" i="1" l="1"/>
  <c r="F22" i="1"/>
  <c r="G22" i="1" s="1"/>
  <c r="F24" i="1"/>
  <c r="G24" i="1" s="1"/>
  <c r="G14" i="1"/>
  <c r="F23" i="1"/>
  <c r="G23" i="1" s="1"/>
  <c r="E5" i="3"/>
  <c r="C7" i="3" s="1"/>
  <c r="G56" i="1" s="1"/>
  <c r="E7" i="3"/>
  <c r="G12" i="1"/>
  <c r="F17" i="1"/>
  <c r="G17" i="1" s="1"/>
  <c r="F16" i="1"/>
  <c r="G16" i="1" s="1"/>
  <c r="F18" i="1"/>
  <c r="G18" i="1" s="1"/>
  <c r="F36" i="1" l="1"/>
  <c r="G36" i="1" s="1"/>
  <c r="F28" i="1"/>
  <c r="G28" i="1" s="1"/>
  <c r="F27" i="1"/>
  <c r="G27" i="1" s="1"/>
  <c r="F25" i="1"/>
  <c r="G25" i="1" s="1"/>
  <c r="F26" i="1"/>
  <c r="G26" i="1" s="1"/>
  <c r="F30" i="1"/>
  <c r="G30" i="1" s="1"/>
  <c r="F29" i="1"/>
  <c r="G29" i="1" s="1"/>
  <c r="G43" i="1" l="1"/>
  <c r="D47" i="1" s="1"/>
  <c r="G47" i="1" s="1"/>
  <c r="E49" i="1"/>
  <c r="G49" i="1" s="1"/>
  <c r="D48" i="1" l="1"/>
  <c r="G48" i="1" s="1"/>
  <c r="D46" i="1"/>
  <c r="G46" i="1" s="1"/>
  <c r="G52" i="1" l="1"/>
  <c r="C3" i="2" s="1"/>
  <c r="C4" i="2" s="1"/>
  <c r="D52" i="1"/>
  <c r="G45" i="1"/>
  <c r="C9" i="2" l="1"/>
  <c r="C13" i="2"/>
  <c r="C7" i="2"/>
  <c r="C10" i="2"/>
  <c r="C8" i="2"/>
  <c r="C11" i="2"/>
  <c r="C6" i="2"/>
  <c r="B14" i="2" s="1"/>
  <c r="G53" i="1" l="1"/>
  <c r="G54" i="1" s="1"/>
  <c r="G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Fränk Siebenaller</author>
  </authors>
  <commentList>
    <comment ref="E2" authorId="0" shapeId="0" xr:uid="{00000000-0006-0000-0000-000002000000}">
      <text>
        <r>
          <rPr>
            <b/>
            <sz val="8"/>
            <color indexed="8"/>
            <rFont val="Tahoma"/>
            <family val="2"/>
          </rPr>
          <t xml:space="preserve"> Paramètres pour calculer la rémunération
</t>
        </r>
        <r>
          <rPr>
            <sz val="8"/>
            <color indexed="8"/>
            <rFont val="Tahoma"/>
            <family val="2"/>
          </rPr>
          <t xml:space="preserve">
Les traitements, indemnités et salaires sont exprimés en points indiciaires.
La valeur annuelle de 100 points indiciaires est fixée par la loi modifiée du 22 juin 1963
 portant fixation de la valeur numérique des traitements des fonctionnaires de l'Etat,
valeur correspondant actuellement à 2647,94 euros pour les éléments non-pensionnables de la rémunération.
Par ailleurs, l'article 11 de la loi modifiée du 22 juin 1963 fixant le régime des traitements des fonctionnaires de l'Etat
 prévoit une adaptation périodique aux variations du coût de la vie. 
La valeur mensuelle actuelle d'un point indiciaire, adaptée à l'indice du coût de la vie, correspond donc à
    2796,42 :100 : 12 x Indice = x euros (éléments pensionnables)
    2647,94 :100 : 12 x Indice = x euros (éléments non-pens.)
</t>
        </r>
      </text>
    </comment>
    <comment ref="F2" authorId="0" shapeId="0" xr:uid="{00000000-0006-0000-0000-000003000000}">
      <text>
        <r>
          <rPr>
            <b/>
            <sz val="8"/>
            <color indexed="8"/>
            <rFont val="Tahoma"/>
            <family val="2"/>
          </rPr>
          <t>à partir 1.04.2022</t>
        </r>
      </text>
    </comment>
    <comment ref="G4" authorId="0" shapeId="0" xr:uid="{00000000-0006-0000-0000-000004000000}">
      <text>
        <r>
          <rPr>
            <b/>
            <sz val="8"/>
            <color indexed="8"/>
            <rFont val="Tahoma"/>
            <family val="2"/>
          </rPr>
          <t xml:space="preserve">à partir 1.1.2018
</t>
        </r>
      </text>
    </comment>
    <comment ref="B5" authorId="0" shapeId="0" xr:uid="{00000000-0006-0000-0000-000005000000}">
      <text>
        <r>
          <rPr>
            <b/>
            <sz val="8"/>
            <color indexed="8"/>
            <rFont val="Tahoma"/>
            <family val="2"/>
          </rPr>
          <t>Selon barrème 
ou pour Fiche de retenue d'impôt additionnelle:
Classe1=33%
Classe1a=21%
Classe2=15%</t>
        </r>
      </text>
    </comment>
    <comment ref="B6" authorId="0" shapeId="0" xr:uid="{00000000-0006-0000-0000-000006000000}">
      <text>
        <r>
          <rPr>
            <sz val="8"/>
            <color indexed="8"/>
            <rFont val="Tahoma"/>
            <family val="2"/>
          </rPr>
          <t>à partir du 1/1/2013:
Modification de la loi modifiée du 4 décembre 1967
concernant l’impôt sur le revenu
Le montant de la déduction forfaitaire est fixé comme suit: Lorsque l’éloignement entre les chefs-lieux (ou sièges) dépasse 4 unités sans dépasser 30 unités d’éloignement, la déduction forfaitaire pour frais de déplacement est à compter à concurrence de 99 euros par unité d’éloignement.
Les 4 premières unités d’éloignement ne sont pas prises en compte et la déduction forfaitaire pour un éloignement dépassant 30 unités d’éloignement est limitée à 2.574 euros.
En cas de modification de la situation du contribuable par suite de changement de son domicile ou de son lieu de travail, la nouvelle situation n’est prise en considération que s’il en résulte un accroissement du nombre des unités d’éloignement. Dans ce cas, la modification de la déduction forfaitaire prend effet à partir du début du mois où intervient l’événement de changement de la situation.
Lorsque l’assujettissement du contribuable à l’impôt n’a pas existé durant toute l’année, la déduction forfaitaire se réduit au douzième de son montant par mois entier d’assujettissement.</t>
        </r>
      </text>
    </comment>
    <comment ref="C6" authorId="0" shapeId="0" xr:uid="{00000000-0006-0000-0000-000007000000}">
      <text>
        <r>
          <rPr>
            <sz val="8"/>
            <color indexed="8"/>
            <rFont val="Tahoma"/>
            <family val="2"/>
          </rPr>
          <t>Introduise les kilométres en veillant que l'abattement FD correspont avec ton bulletin de salaire ou ta fiche d'impôt.</t>
        </r>
      </text>
    </comment>
    <comment ref="E8" authorId="0" shapeId="0" xr:uid="{00000000-0006-0000-0000-000008000000}">
      <text>
        <r>
          <rPr>
            <b/>
            <sz val="8"/>
            <color indexed="8"/>
            <rFont val="Tahoma"/>
            <family val="2"/>
          </rPr>
          <t xml:space="preserve">Horaire mensuel est
</t>
        </r>
        <r>
          <rPr>
            <sz val="8"/>
            <color indexed="8"/>
            <rFont val="Tahoma"/>
            <family val="2"/>
          </rPr>
          <t>-pareil pour chaque mois
-calcul: 365,25 -samedis -dimanches -jours feriés, le tout divisé par 12 et multiplié par le nombre des heures à travailler par jour (7,6)
-depuis le 1.1.2000 l'horaire mensuel est fixé à 164,35 heures</t>
        </r>
      </text>
    </comment>
    <comment ref="E11" authorId="0" shapeId="0" xr:uid="{00000000-0006-0000-0000-000009000000}">
      <text>
        <r>
          <rPr>
            <b/>
            <sz val="8"/>
            <color indexed="8"/>
            <rFont val="Tahoma"/>
            <family val="2"/>
          </rPr>
          <t>= horaire mensuel - heures congés et heures de formations etc</t>
        </r>
      </text>
    </comment>
    <comment ref="B12" authorId="0" shapeId="0" xr:uid="{00000000-0006-0000-0000-00000A000000}">
      <text>
        <r>
          <rPr>
            <b/>
            <u/>
            <sz val="8"/>
            <color indexed="8"/>
            <rFont val="Tahoma"/>
            <family val="2"/>
          </rPr>
          <t xml:space="preserve">CCT 24/6/2019 article 8 B). indemnités permanance. Page 16
</t>
        </r>
        <r>
          <rPr>
            <sz val="8"/>
            <color indexed="8"/>
            <rFont val="Tahoma"/>
            <family val="2"/>
          </rPr>
          <t xml:space="preserve">Le taux horaire de base de l’indemnité "permanence" est de 0,4276 € indice 100 (valeur du point au 01.01.2018).
- pour accessibilité le jour entre 8 heures et 18 heures:
 pour le seuil 1 (accessibilité en 10 minutes): taux horaire "permanence" de base x 125%,
17 |CCT FHL
 pour le seuil 2 (accessibilité en 30 minutes): taux horaire "permanence" de base x 100%,
 pour le seuil 3 (accessibilité en 60 minutes): taux horaire "permanence" de base x 50%,
 pour le seuil 4 (accessibilité en 240 minutes): taux horaire "permanence" de base x 25%.
- pour accessibilité la nuit entre 18 heures et 8 heures du lendemain matin un supplément de 20% est
dû qui s’ajoute à l'indemnité pour accessibilité le jour.
- pour accessibilité le dimanche entre 6 heures du dimanche matin et 6 heures du lundi matin un
supplément de 70% est dû qui s’ajoute à l'indemnité pour accessibilité le jour.
- pour accessibilité le jour férié légal entre 6 heures du matin du jour férié et 6 heures du lendemain
matin un supplément de 100% est dû qui s’ajoute à l'indemnité pour accessibilité le jour.
Les suppléments accordés sont cumulables.
En cas de changement de la valeur du point indiciaire définie à l'article 13 de la présente convention, les
taux horaires des indemnités qui précèdent, seront adaptés dans la même proportion. Les heures de
travail prestées par les salariés au cours des services de permanence donnent lieu aux suppléments
prévus dans la présente convention.
</t>
        </r>
        <r>
          <rPr>
            <b/>
            <sz val="8"/>
            <color indexed="8"/>
            <rFont val="Tahoma"/>
            <family val="2"/>
          </rPr>
          <t xml:space="preserve">
Commentaire FS : la valeur du point indiciaire définie à l'article 13 de la présente convention = =2,4173333*8,144(index) = 19,686762€(1.2018)
Valeur 1hrs permS2 1.1.2018=3,4823
Formule pour le calcule d'une heure permanance s2:
(Valeur 1hrs permS2 1.2018)*(evaluation de la valeur du point(valeur actuel/valeur1.2018))</t>
        </r>
      </text>
    </comment>
    <comment ref="B25" authorId="0" shapeId="0" xr:uid="{00000000-0006-0000-0000-00000B000000}">
      <text>
        <r>
          <rPr>
            <b/>
            <sz val="8"/>
            <color indexed="8"/>
            <rFont val="Tahoma"/>
            <family val="2"/>
          </rPr>
          <t xml:space="preserve">CCT: Article 17
 calcul des suppléments pour travail de nuit, de dimanche et de jour férié légal.
17 A). définition du salaire horaire
</t>
        </r>
        <r>
          <rPr>
            <sz val="8"/>
            <color indexed="8"/>
            <rFont val="Tahoma"/>
            <family val="2"/>
          </rPr>
          <t xml:space="preserve">17 A).1. formule
Le salaire horaire est défini selon la formule suivante:
SM = Salaire mensuel de base; (cf. article 13 a) )
SF = Supplément pour allocation de famille;
IP = Indemnité pour service de permanence;
Y = Somme des 3 éléments qui précèdent
(SM+SF+IP);
DTMT = durée de travail mensuelle théorique en vigueur
Y = SH ( salaire horaire)
DTMT
17 A).2. durée de travail mensuelle théorique
La durée de travail mensuelle théorique est de 164,35 heures.
</t>
        </r>
        <r>
          <rPr>
            <b/>
            <sz val="8"/>
            <color indexed="8"/>
            <rFont val="Tahoma"/>
            <family val="2"/>
          </rPr>
          <t xml:space="preserve">17 B). supplément pour travail de dimanche
</t>
        </r>
        <r>
          <rPr>
            <sz val="8"/>
            <color indexed="8"/>
            <rFont val="Tahoma"/>
            <family val="2"/>
          </rPr>
          <t>Définition: Par travail de dimanche on entend le travail exécuté entre 6 heures du dimanche matin et 6
heures du lundi matin (HD). Le salarié a droit pour chaque heure travaillée le dimanche à son salaire
horaire conventionnel avec un supplément de 70%.
Formule de majoration: SH x HD x 1,7 = Z euros
Si les heures travaillées un dimanche sont compensées par un repos correspondant en semaine, le seul
supplément de 70% est dû:
F o r m u l e de supplément: SH x HD x 0,7 = Z euros</t>
        </r>
      </text>
    </comment>
    <comment ref="B26" authorId="0" shapeId="0" xr:uid="{00000000-0006-0000-0000-00000C000000}">
      <text>
        <r>
          <rPr>
            <b/>
            <sz val="8"/>
            <color indexed="8"/>
            <rFont val="Tahoma"/>
            <family val="2"/>
          </rPr>
          <t>17 C)</t>
        </r>
        <r>
          <rPr>
            <sz val="8"/>
            <color indexed="8"/>
            <rFont val="Tahoma"/>
            <family val="2"/>
          </rPr>
          <t>. supplément pour travail de jour férié légal
Définition: Par travail de jour férié légal on entend le travail exécuté entre 6 heures du matin du jour férié
légal et 6 heures du lendemain matin (HF).
Le salarié a droit à son salaire normal conventionnel pour toute la journée. Il a droit en outre:
1) à la rémunération des heures effectivement prestées,
2) à une majoration de 100% des heures de travail sub 1).
F o r m u l e de majoration: SH x HF x 2 = Z euros
Si le jour férié légal travaillé tombe sur un dimanche, les majorations sont cumulables :
Formule de majoration : SH x HF x 2,7 = Z euros
Si les heures travaillées un jour férié légal sont compensées par un repos correspondant payé en
semaine, seul est dû le supplément de 100% sur la rémunération des heures effectivement prestées:
F o r m u l e de supplément: SH x HF x 1= Z euros
Si les heures travaillées un jour férié légal tombant sur un dimanche sont compensées par un repos
correspondant à une journée de travail payé en semaine, seul est dû le supplément de 170% sur la
rémunération des heures effectivement prestées:
F o r m u l e de supplément: SH x HF x 1,7 = Z euros
Si les heures travaillées un jour férié légal tombant sur un dimanche sont compensées par un repos
correspondant à deux journées de travail payé en semaine, seul est dû le supplément de 70% sur la
rémunération des heures effectivement prestées:
F o r m u l e de supplément: SH x HF x 0,7 = Z euros
Indépendamment de leur conversion en jours de congé conventionnels selon les stipulations de l’article
11.A).2., les jours fériés légaux travaillés donneront droit aux suppléments pour travail de jour férié légal.</t>
        </r>
      </text>
    </comment>
    <comment ref="B27" authorId="0" shapeId="0" xr:uid="{00000000-0006-0000-0000-00000D000000}">
      <text>
        <r>
          <rPr>
            <b/>
            <sz val="8"/>
            <color indexed="8"/>
            <rFont val="Tahoma"/>
            <family val="2"/>
          </rPr>
          <t xml:space="preserve">17 D). supplément pour travail de nuit
</t>
        </r>
        <r>
          <rPr>
            <sz val="8"/>
            <color indexed="8"/>
            <rFont val="Tahoma"/>
            <family val="2"/>
          </rPr>
          <t>Définition: Le terme "nuit" s'étend de 22 heures au lendemain matin 6 heures. Des dérogations à cette
règle sont possibles en ce sens que le travail de nuit, rémunéré comme tel, peut être étendu au-delà des
heures travaillées entre 22 heures et 6 heures du lendemain matin (HN). Le salarié, a droit pour chaque
heure travaillée la nuit, à son salaire horaire conventionnel avec un supplément de 20%.
F o r m u l e de supplément: SH x HN x 0,2 = Z euros.
Remarque: Les heures travaillées la nuit d'un dimanche ou jour férié légal donnent droit au cumul des
suppléments ci-dessus.</t>
        </r>
      </text>
    </comment>
    <comment ref="B28" authorId="0" shapeId="0" xr:uid="{00000000-0006-0000-0000-00000E000000}">
      <text>
        <r>
          <rPr>
            <b/>
            <sz val="8"/>
            <color indexed="8"/>
            <rFont val="Tahoma"/>
            <family val="2"/>
          </rPr>
          <t xml:space="preserve">BARÈMES DE L’IMPÔT
page 6
Ministère d’État – Service Central de Législation – 2013 idem 2009 etc
</t>
        </r>
        <r>
          <rPr>
            <sz val="8"/>
            <color indexed="8"/>
            <rFont val="Tahoma"/>
            <family val="2"/>
          </rPr>
          <t xml:space="preserve"> 
1)a) Les suppléments de salaires alloués pour le travail de nuit, de dimanche et de jour férié sont exempts
d'impôt (sous certaines conditions et limites).Travail de nuit = prestation régulière de sept heures de
travail consécutives au moins, dont au minimum 3 heures se situent à l'intérieur d'un laps de temps
compris entre 22.00 heures du soir et 6.00 heures du matin.</t>
        </r>
      </text>
    </comment>
    <comment ref="B35" authorId="0" shapeId="0" xr:uid="{00000000-0006-0000-0000-00000F000000}">
      <text>
        <r>
          <rPr>
            <b/>
            <sz val="8"/>
            <color indexed="8"/>
            <rFont val="Tahoma"/>
            <family val="2"/>
          </rPr>
          <t>A Partir de janvier 2012, les 190 heures de congé légaux(25 jours) et les 76 heures de congé conventionnels(10 jours) sont payées de la même façon: Salaire de base + 25/35 de la moyenne suppléments des 3 derniers mois.
Pour definir le taux salarial, tu dois remplir le tableau en bas.</t>
        </r>
      </text>
    </comment>
    <comment ref="B36" authorId="1" shapeId="0" xr:uid="{3610BD42-DA1C-4C7E-8CB2-C6EA62B385D6}">
      <text>
        <r>
          <rPr>
            <sz val="9"/>
            <color indexed="81"/>
            <rFont val="Segoe UI"/>
            <family val="2"/>
          </rPr>
          <t>CCT page 34</t>
        </r>
      </text>
    </comment>
    <comment ref="B40" authorId="0" shapeId="0" xr:uid="{00000000-0006-0000-0000-000010000000}">
      <text>
        <r>
          <rPr>
            <b/>
            <sz val="8"/>
            <color indexed="8"/>
            <rFont val="Tahoma"/>
            <family val="2"/>
          </rPr>
          <t>-Seulement pour les salarié en service à la date du 1.3.2001
-A droit à l'allocation de famille: regardez CCT Article 20</t>
        </r>
      </text>
    </comment>
    <comment ref="F49" authorId="0" shapeId="0" xr:uid="{00000000-0006-0000-0000-000011000000}">
      <text>
        <r>
          <rPr>
            <b/>
            <sz val="8"/>
            <color indexed="8"/>
            <rFont val="Tahoma"/>
            <family val="2"/>
          </rPr>
          <t xml:space="preserve">à partir du 1.1.2007
</t>
        </r>
        <r>
          <rPr>
            <sz val="8"/>
            <color indexed="8"/>
            <rFont val="Tahoma"/>
            <family val="2"/>
          </rPr>
          <t xml:space="preserve">
</t>
        </r>
      </text>
    </comment>
    <comment ref="B50" authorId="1" shapeId="0" xr:uid="{00000000-0006-0000-0000-000012000000}">
      <text>
        <r>
          <rPr>
            <b/>
            <sz val="9"/>
            <color indexed="81"/>
            <rFont val="Tahoma"/>
            <charset val="1"/>
          </rPr>
          <t>Abbattement conjoint, accordé par voie d'inscription d'un code «AC» sur la 1ère fiche de retenue d'impôt additionnelle du conjoint ayant le salaire le moins élevé.=460€</t>
        </r>
      </text>
    </comment>
    <comment ref="B52" authorId="0" shapeId="0" xr:uid="{00000000-0006-0000-0000-000013000000}">
      <text>
        <r>
          <rPr>
            <b/>
            <sz val="8"/>
            <color indexed="8"/>
            <rFont val="Tahoma"/>
            <family val="2"/>
          </rPr>
          <t>Imposable= Brut total- Suppl.Hrs D, F, N-Abattement FD-Cotisations+Contrib.Dépendance</t>
        </r>
      </text>
    </comment>
    <comment ref="B56" authorId="1" shapeId="0" xr:uid="{00000000-0006-0000-0000-000014000000}">
      <text>
        <r>
          <rPr>
            <sz val="9"/>
            <color indexed="81"/>
            <rFont val="Tahoma"/>
            <charset val="1"/>
          </rPr>
          <t>En cas de travaile travail posté, le calcul du CIS n´est pas exact.</t>
        </r>
      </text>
    </comment>
    <comment ref="B57" authorId="0" shapeId="0" xr:uid="{00000000-0006-0000-0000-000015000000}">
      <text>
        <r>
          <rPr>
            <b/>
            <sz val="8"/>
            <color indexed="8"/>
            <rFont val="Tahoma"/>
            <family val="2"/>
          </rPr>
          <t>à payer seulement 1x/an au mois de mars</t>
        </r>
      </text>
    </comment>
    <comment ref="B59" authorId="0" shapeId="0" xr:uid="{00000000-0006-0000-0000-000016000000}">
      <text>
        <r>
          <rPr>
            <b/>
            <sz val="8"/>
            <color indexed="8"/>
            <rFont val="Tahoma"/>
            <family val="2"/>
          </rPr>
          <t xml:space="preserve">article 121-6 code du travail </t>
        </r>
      </text>
    </comment>
    <comment ref="C61" authorId="1" shapeId="0" xr:uid="{00000000-0006-0000-0000-000017000000}">
      <text>
        <r>
          <rPr>
            <b/>
            <sz val="9"/>
            <color indexed="81"/>
            <rFont val="Tahoma"/>
            <charset val="1"/>
          </rPr>
          <t>= somme des supplèments pour Dimanche, Nuit et jours Feriés à la période .</t>
        </r>
        <r>
          <rPr>
            <sz val="9"/>
            <color indexed="81"/>
            <rFont val="Tahoma"/>
            <charset val="1"/>
          </rPr>
          <t xml:space="preserve">
</t>
        </r>
      </text>
    </comment>
    <comment ref="B66" authorId="0" shapeId="0" xr:uid="{00000000-0006-0000-0000-000018000000}">
      <text>
        <r>
          <rPr>
            <b/>
            <sz val="8"/>
            <color indexed="8"/>
            <rFont val="Tahoma"/>
            <family val="2"/>
          </rPr>
          <t xml:space="preserve"> Assurence dépendance:
</t>
        </r>
        <r>
          <rPr>
            <sz val="8"/>
            <color indexed="8"/>
            <rFont val="Tahoma"/>
            <family val="2"/>
          </rPr>
          <t>Un salarié, qui travaille au moins 160 heures par mois, a droit à l'abattement intégral, c'est-à-dire à 1/4 du salaire social minimum.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Fränk</author>
  </authors>
  <commentList>
    <comment ref="B9" authorId="0" shapeId="0" xr:uid="{00000000-0006-0000-0100-000001000000}">
      <text>
        <r>
          <rPr>
            <sz val="8"/>
            <color indexed="81"/>
            <rFont val="Tahoma"/>
            <family val="2"/>
          </rPr>
          <t>fiche de retenue d'impôt additionnelle.Classe 1
à partir du 1/1/2013</t>
        </r>
      </text>
    </comment>
    <comment ref="B10" authorId="0" shapeId="0" xr:uid="{00000000-0006-0000-0100-000002000000}">
      <text>
        <r>
          <rPr>
            <b/>
            <sz val="8"/>
            <color indexed="81"/>
            <rFont val="Tahoma"/>
            <family val="2"/>
          </rPr>
          <t>fiche de retenue d'impôt additionnelle.Classe 1a</t>
        </r>
      </text>
    </comment>
    <comment ref="B11" authorId="0" shapeId="0" xr:uid="{00000000-0006-0000-0100-000003000000}">
      <text>
        <r>
          <rPr>
            <b/>
            <sz val="8"/>
            <color indexed="81"/>
            <rFont val="Tahoma"/>
            <family val="2"/>
          </rPr>
          <t>fiche de retenue d'impôt additionnelle.Classe 2</t>
        </r>
      </text>
    </comment>
  </commentList>
</comments>
</file>

<file path=xl/sharedStrings.xml><?xml version="1.0" encoding="utf-8"?>
<sst xmlns="http://schemas.openxmlformats.org/spreadsheetml/2006/main" count="252" uniqueCount="147">
  <si>
    <t>Indice:</t>
  </si>
  <si>
    <t>Points:</t>
  </si>
  <si>
    <t>Valeur Point :</t>
  </si>
  <si>
    <t>Valeur Point indice 100 :</t>
  </si>
  <si>
    <t>Kilométres :</t>
  </si>
  <si>
    <t xml:space="preserve">             Déduction FD :</t>
  </si>
  <si>
    <t>lcgbhk@gmail.com</t>
  </si>
  <si>
    <t>1a</t>
  </si>
  <si>
    <t>Taux d'Occupation:</t>
  </si>
  <si>
    <t>Horaire mensuel</t>
  </si>
  <si>
    <t>Rubriques</t>
  </si>
  <si>
    <t>Nombre ou base</t>
  </si>
  <si>
    <t>Taux salarial</t>
  </si>
  <si>
    <t>Montants</t>
  </si>
  <si>
    <t>Rémunérat de base</t>
  </si>
  <si>
    <t>A10</t>
  </si>
  <si>
    <t>Service.Perm.Seuil 1 10 min (*1.25)</t>
  </si>
  <si>
    <t>A11</t>
  </si>
  <si>
    <t>Service.Perm.Seuil 2 30 min (*1  )</t>
  </si>
  <si>
    <t>A12</t>
  </si>
  <si>
    <t>Service.Perm.Seuil 3 60 min (*0.5 )</t>
  </si>
  <si>
    <t>A13</t>
  </si>
  <si>
    <t>Service.Perm.Seuil 4 240 min (*0.25)</t>
  </si>
  <si>
    <t>A14</t>
  </si>
  <si>
    <t>Service.Perm.Nuit S1 20 % 10min</t>
  </si>
  <si>
    <t>A15</t>
  </si>
  <si>
    <t>Service.Perm.Dim.S1 70 % 10min</t>
  </si>
  <si>
    <t>A16</t>
  </si>
  <si>
    <t>Service.Perm.J.F..S1 100 % 10min</t>
  </si>
  <si>
    <t>A24</t>
  </si>
  <si>
    <t>Service.Perm.Nuit S2 20 % 30min</t>
  </si>
  <si>
    <t>A25</t>
  </si>
  <si>
    <t>Service.Perm.Dim.S2 70 % 30min</t>
  </si>
  <si>
    <t>A26</t>
  </si>
  <si>
    <t>Service.Perm.J.F.S2  100 % 30min</t>
  </si>
  <si>
    <t>A34</t>
  </si>
  <si>
    <t>Service.Perm.Nuit S3 20 % 60min</t>
  </si>
  <si>
    <t>Fahrtkosten Mintestbetrag (0-4km):</t>
  </si>
  <si>
    <t>A35</t>
  </si>
  <si>
    <t>Service.Perm.Dim.S3 70 % 60min</t>
  </si>
  <si>
    <t>Betrag pro km zwischen 4 - 30km :</t>
  </si>
  <si>
    <t>A36</t>
  </si>
  <si>
    <t>Service.Perm.J.F.S3 100 % 60min</t>
  </si>
  <si>
    <t>Fahrtkosten ( FD ):</t>
  </si>
  <si>
    <t>SD2</t>
  </si>
  <si>
    <t>Suppl.Hrs Dimanche 70 %</t>
  </si>
  <si>
    <t>SF3</t>
  </si>
  <si>
    <t>Suppl.Hrs Ferie 100 %</t>
  </si>
  <si>
    <t>SN1</t>
  </si>
  <si>
    <t>Suppl.Hrs Nuit 20 %</t>
  </si>
  <si>
    <t>SD</t>
  </si>
  <si>
    <r>
      <t xml:space="preserve">Suppl.Hrs Dimanche 70 % </t>
    </r>
    <r>
      <rPr>
        <b/>
        <sz val="10"/>
        <rFont val="Arial"/>
        <family val="2"/>
      </rPr>
      <t>Im</t>
    </r>
    <r>
      <rPr>
        <sz val="10"/>
        <rFont val="Arial"/>
        <family val="2"/>
      </rPr>
      <t>posable</t>
    </r>
  </si>
  <si>
    <t>SF</t>
  </si>
  <si>
    <r>
      <t xml:space="preserve">Suppl.Hrs Ferie 100 % </t>
    </r>
    <r>
      <rPr>
        <b/>
        <sz val="10"/>
        <rFont val="Arial"/>
        <family val="2"/>
      </rPr>
      <t>Im</t>
    </r>
    <r>
      <rPr>
        <sz val="10"/>
        <rFont val="Arial"/>
        <family val="2"/>
      </rPr>
      <t>posable</t>
    </r>
  </si>
  <si>
    <t>SN2</t>
  </si>
  <si>
    <r>
      <t xml:space="preserve">Suppl.Hrs Nuit 20 % </t>
    </r>
    <r>
      <rPr>
        <b/>
        <sz val="10"/>
        <rFont val="Arial"/>
        <family val="2"/>
      </rPr>
      <t>Im</t>
    </r>
    <r>
      <rPr>
        <sz val="10"/>
        <rFont val="Arial"/>
        <family val="2"/>
      </rPr>
      <t>posable</t>
    </r>
  </si>
  <si>
    <t>L87</t>
  </si>
  <si>
    <t>Formation interne</t>
  </si>
  <si>
    <t>L89</t>
  </si>
  <si>
    <t>Formation externe</t>
  </si>
  <si>
    <t>L90</t>
  </si>
  <si>
    <t xml:space="preserve">Maladie </t>
  </si>
  <si>
    <t>€/hr estimé:</t>
  </si>
  <si>
    <t>L92</t>
  </si>
  <si>
    <t>Réunion Interne</t>
  </si>
  <si>
    <t>L98</t>
  </si>
  <si>
    <t>Congés</t>
  </si>
  <si>
    <t>x</t>
  </si>
  <si>
    <t>xxx</t>
  </si>
  <si>
    <t>xx</t>
  </si>
  <si>
    <t>Primes</t>
  </si>
  <si>
    <t>CA5</t>
  </si>
  <si>
    <t>Allocation Famille (25-29 )</t>
  </si>
  <si>
    <t>Chef (15,30, 45, 60)</t>
  </si>
  <si>
    <t>Habillement( 22.53 €)</t>
  </si>
  <si>
    <t>ALB</t>
  </si>
  <si>
    <t>Brut total</t>
  </si>
  <si>
    <t>Cotisations</t>
  </si>
  <si>
    <t>LDH</t>
  </si>
  <si>
    <t>Maladie Soins</t>
  </si>
  <si>
    <t>LDJ</t>
  </si>
  <si>
    <t>Maladie Espèces</t>
  </si>
  <si>
    <t>LCB</t>
  </si>
  <si>
    <t>Cotis. pension</t>
  </si>
  <si>
    <t>LCQ</t>
  </si>
  <si>
    <t>Contrib.Dépendance</t>
  </si>
  <si>
    <t>EFD</t>
  </si>
  <si>
    <t>Abattement FD</t>
  </si>
  <si>
    <t>LIM</t>
  </si>
  <si>
    <t>Impos.périodique</t>
  </si>
  <si>
    <t>LIV</t>
  </si>
  <si>
    <t>Impôt mensuel</t>
  </si>
  <si>
    <t>ALN</t>
  </si>
  <si>
    <t xml:space="preserve">Net total </t>
  </si>
  <si>
    <t>AVO</t>
  </si>
  <si>
    <t>Avance</t>
  </si>
  <si>
    <t>CIS</t>
  </si>
  <si>
    <t>Credit d'impôt salarié</t>
  </si>
  <si>
    <t>LNV</t>
  </si>
  <si>
    <t>Chambre des Salaries(31€)</t>
  </si>
  <si>
    <t>NET A PAYER</t>
  </si>
  <si>
    <t>Période</t>
  </si>
  <si>
    <t>3 iéme mois précédent</t>
  </si>
  <si>
    <t>2 iéme mois précédent</t>
  </si>
  <si>
    <t>1ier mois précédent</t>
  </si>
  <si>
    <t>une heure congé calculé</t>
  </si>
  <si>
    <t>salaire social minimum index 100:</t>
  </si>
  <si>
    <t>salaire social minimum</t>
  </si>
  <si>
    <t>Classe 1</t>
  </si>
  <si>
    <t>Classe 1a</t>
  </si>
  <si>
    <t>Classe 2</t>
  </si>
  <si>
    <t>Imposable :</t>
  </si>
  <si>
    <t>Echelon de salaire</t>
  </si>
  <si>
    <t>Formule à appliquer</t>
  </si>
  <si>
    <t>*R-</t>
  </si>
  <si>
    <t>= classe</t>
  </si>
  <si>
    <t>Crédit d’impôt pour salariés (CIS)</t>
  </si>
  <si>
    <t>p 5146:</t>
  </si>
  <si>
    <t>http://www.impotsdirects.public.lu/content/dam/acd/fr/legislation/legi16/a274.pdf</t>
  </si>
  <si>
    <t>salaire brut mensuel:</t>
  </si>
  <si>
    <t>*12=</t>
  </si>
  <si>
    <t>CIS:</t>
  </si>
  <si>
    <t>Salaire</t>
  </si>
  <si>
    <t>EAC</t>
  </si>
  <si>
    <t>Abattement AC</t>
  </si>
  <si>
    <t>Contact programmateur:</t>
  </si>
  <si>
    <t>Calcuatrice pour le bulletin de salaire des employés du CCT de la FHL</t>
  </si>
  <si>
    <t>*13=</t>
  </si>
  <si>
    <t>Pécule de vacance+surprime=</t>
  </si>
  <si>
    <t>Tabelle pour le calcul des congés</t>
  </si>
  <si>
    <t>Supp DFN</t>
  </si>
  <si>
    <t>Supp HS</t>
  </si>
  <si>
    <t>Permanence</t>
  </si>
  <si>
    <t>S(p)</t>
  </si>
  <si>
    <t>Sm100</t>
  </si>
  <si>
    <t>Sm</t>
  </si>
  <si>
    <t>Tb</t>
  </si>
  <si>
    <t>Suppl.Hrs Dimanche 70 % Imposable</t>
  </si>
  <si>
    <t>Suppl.Hrs Ferie 100 % Imposable</t>
  </si>
  <si>
    <t>Suppl.Hrs Nuit 20 % Imposable</t>
  </si>
  <si>
    <t>total</t>
  </si>
  <si>
    <t>trvaillé:</t>
  </si>
  <si>
    <t xml:space="preserve">Classe Impôt                       1,2,1A,  : </t>
  </si>
  <si>
    <t>ou 15%,21%,33% ou X%:</t>
  </si>
  <si>
    <t xml:space="preserve">               oui=1 non=0:</t>
  </si>
  <si>
    <t>HS</t>
  </si>
  <si>
    <t>à partir 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</si>
</sst>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_-[$€-2]\ * #,##0.00_-;\-[$€-2]\ * #,##0.00_-;_-[$€-2]\ * \-??_-;_-@_-"/>
    <numFmt numFmtId="167" formatCode="_-[$€-2]\ * #,##0.00_-;\-[$€-2]\ * #,##0.00_-;_-[$€-2]\ * &quot;-&quot;??_-;_-@_-"/>
    <numFmt numFmtId="168" formatCode="0.000000"/>
  </numFmts>
  <fonts count="32" x14ac:knownFonts="1">
    <font>
      <sz val="10"/>
      <name val="Arial"/>
      <family val="2"/>
    </font>
    <font>
      <b/>
      <sz val="8"/>
      <color indexed="8"/>
      <name val="Tahoma"/>
      <family val="2"/>
    </font>
    <font>
      <sz val="8"/>
      <color indexed="8"/>
      <name val="Tahoma"/>
      <family val="2"/>
    </font>
    <font>
      <sz val="7"/>
      <name val="Arial"/>
      <family val="2"/>
    </font>
    <font>
      <b/>
      <u/>
      <sz val="10"/>
      <name val="Arial"/>
      <family val="2"/>
    </font>
    <font>
      <b/>
      <sz val="10"/>
      <name val="Arial"/>
      <family val="2"/>
    </font>
    <font>
      <u/>
      <sz val="8"/>
      <color indexed="12"/>
      <name val="Arial"/>
      <family val="2"/>
    </font>
    <font>
      <u/>
      <sz val="10"/>
      <color indexed="12"/>
      <name val="Arial"/>
      <family val="2"/>
    </font>
    <font>
      <b/>
      <sz val="10"/>
      <color indexed="9"/>
      <name val="Arial"/>
      <family val="2"/>
    </font>
    <font>
      <b/>
      <sz val="7"/>
      <color indexed="9"/>
      <name val="Arial"/>
      <family val="2"/>
    </font>
    <font>
      <b/>
      <u/>
      <sz val="8"/>
      <color indexed="8"/>
      <name val="Tahoma"/>
      <family val="2"/>
    </font>
    <font>
      <sz val="10"/>
      <color indexed="10"/>
      <name val="Arial"/>
      <family val="2"/>
    </font>
    <font>
      <sz val="9"/>
      <name val="Arial"/>
      <family val="2"/>
    </font>
    <font>
      <sz val="10"/>
      <color indexed="27"/>
      <name val="Arial"/>
      <family val="2"/>
    </font>
    <font>
      <sz val="12"/>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0"/>
      <name val="Helv"/>
    </font>
    <font>
      <sz val="8"/>
      <color indexed="81"/>
      <name val="Tahoma"/>
      <family val="2"/>
    </font>
    <font>
      <b/>
      <sz val="8"/>
      <color indexed="81"/>
      <name val="Tahoma"/>
      <family val="2"/>
    </font>
    <font>
      <b/>
      <u/>
      <sz val="18"/>
      <name val="Times New Roman"/>
      <family val="1"/>
    </font>
    <font>
      <b/>
      <u/>
      <sz val="10"/>
      <name val="Times New Roman"/>
      <family val="1"/>
    </font>
    <font>
      <sz val="10"/>
      <name val="Times New Roman"/>
      <family val="1"/>
    </font>
    <font>
      <b/>
      <sz val="9"/>
      <color indexed="81"/>
      <name val="Tahoma"/>
      <charset val="1"/>
    </font>
    <font>
      <sz val="8"/>
      <name val="Arial"/>
      <family val="2"/>
    </font>
    <font>
      <sz val="10"/>
      <name val="Arial"/>
      <family val="2"/>
      <charset val="1"/>
    </font>
    <font>
      <sz val="10"/>
      <name val="Times New Roman"/>
      <family val="1"/>
      <charset val="1"/>
    </font>
    <font>
      <sz val="9"/>
      <color indexed="81"/>
      <name val="Tahoma"/>
      <charset val="1"/>
    </font>
    <font>
      <sz val="6"/>
      <name val="Arial"/>
      <family val="2"/>
    </font>
    <font>
      <i/>
      <sz val="8"/>
      <name val="Arial"/>
      <family val="2"/>
    </font>
    <font>
      <sz val="9"/>
      <color indexed="81"/>
      <name val="Segoe UI"/>
      <family val="2"/>
    </font>
  </fonts>
  <fills count="19">
    <fill>
      <patternFill patternType="none"/>
    </fill>
    <fill>
      <patternFill patternType="gray125"/>
    </fill>
    <fill>
      <patternFill patternType="solid">
        <fgColor indexed="57"/>
        <bgColor indexed="21"/>
      </patternFill>
    </fill>
    <fill>
      <patternFill patternType="solid">
        <fgColor indexed="8"/>
        <bgColor indexed="58"/>
      </patternFill>
    </fill>
    <fill>
      <patternFill patternType="solid">
        <fgColor indexed="27"/>
        <bgColor indexed="41"/>
      </patternFill>
    </fill>
    <fill>
      <patternFill patternType="solid">
        <fgColor indexed="12"/>
        <bgColor indexed="39"/>
      </patternFill>
    </fill>
    <fill>
      <patternFill patternType="solid">
        <fgColor indexed="50"/>
        <bgColor indexed="51"/>
      </patternFill>
    </fill>
    <fill>
      <patternFill patternType="solid">
        <fgColor rgb="FFFFC7CE"/>
      </patternFill>
    </fill>
    <fill>
      <patternFill patternType="solid">
        <fgColor rgb="FFC6EFCE"/>
      </patternFill>
    </fill>
    <fill>
      <patternFill patternType="solid">
        <fgColor rgb="FFFFEB9C"/>
      </patternFill>
    </fill>
    <fill>
      <patternFill patternType="solid">
        <fgColor indexed="13"/>
        <bgColor indexed="64"/>
      </patternFill>
    </fill>
    <fill>
      <patternFill patternType="solid">
        <fgColor rgb="FF00B050"/>
        <bgColor indexed="58"/>
      </patternFill>
    </fill>
    <fill>
      <patternFill patternType="solid">
        <fgColor rgb="FF00B050"/>
        <bgColor indexed="64"/>
      </patternFill>
    </fill>
    <fill>
      <patternFill patternType="solid">
        <fgColor rgb="FF00B050"/>
        <bgColor indexed="21"/>
      </patternFill>
    </fill>
    <fill>
      <patternFill patternType="solid">
        <fgColor rgb="FF00B050"/>
        <bgColor indexed="22"/>
      </patternFill>
    </fill>
    <fill>
      <patternFill patternType="solid">
        <fgColor rgb="FF00B050"/>
        <bgColor indexed="41"/>
      </patternFill>
    </fill>
    <fill>
      <patternFill patternType="solid">
        <fgColor indexed="57"/>
        <bgColor indexed="64"/>
      </patternFill>
    </fill>
    <fill>
      <patternFill patternType="solid">
        <fgColor indexed="51"/>
        <bgColor indexed="64"/>
      </patternFill>
    </fill>
    <fill>
      <patternFill patternType="solid">
        <fgColor theme="6" tint="0.59999389629810485"/>
        <bgColor indexed="64"/>
      </patternFill>
    </fill>
  </fills>
  <borders count="6">
    <border>
      <left/>
      <right/>
      <top/>
      <bottom/>
      <diagonal/>
    </border>
    <border>
      <left/>
      <right/>
      <top style="thick">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auto="1"/>
      </right>
      <top/>
      <bottom/>
      <diagonal/>
    </border>
  </borders>
  <cellStyleXfs count="6">
    <xf numFmtId="0" fontId="0" fillId="0" borderId="0"/>
    <xf numFmtId="0" fontId="15" fillId="7" borderId="0" applyNumberFormat="0" applyBorder="0" applyAlignment="0" applyProtection="0"/>
    <xf numFmtId="0" fontId="16" fillId="8" borderId="0" applyNumberFormat="0" applyBorder="0" applyAlignment="0" applyProtection="0"/>
    <xf numFmtId="0" fontId="7" fillId="0" borderId="0" applyNumberFormat="0" applyFill="0" applyBorder="0" applyAlignment="0" applyProtection="0"/>
    <xf numFmtId="0" fontId="17" fillId="9" borderId="0" applyNumberFormat="0" applyBorder="0" applyAlignment="0" applyProtection="0"/>
    <xf numFmtId="0" fontId="26" fillId="0" borderId="0"/>
  </cellStyleXfs>
  <cellXfs count="111">
    <xf numFmtId="0" fontId="0" fillId="0" borderId="0" xfId="0"/>
    <xf numFmtId="0" fontId="0" fillId="0" borderId="0" xfId="0" applyAlignment="1">
      <alignment horizontal="left"/>
    </xf>
    <xf numFmtId="0" fontId="0" fillId="0" borderId="0" xfId="0" applyFont="1" applyFill="1" applyProtection="1">
      <protection locked="0"/>
    </xf>
    <xf numFmtId="0" fontId="0" fillId="2" borderId="0" xfId="0" applyFont="1" applyFill="1"/>
    <xf numFmtId="0" fontId="0" fillId="3" borderId="0" xfId="0" applyFill="1"/>
    <xf numFmtId="0" fontId="0" fillId="0" borderId="0" xfId="0" applyNumberFormat="1" applyAlignment="1">
      <alignment horizontal="right"/>
    </xf>
    <xf numFmtId="0" fontId="0" fillId="0" borderId="0" xfId="0" applyFill="1"/>
    <xf numFmtId="0" fontId="5" fillId="0" borderId="0" xfId="0" applyNumberFormat="1" applyFont="1" applyAlignment="1">
      <alignment horizontal="left"/>
    </xf>
    <xf numFmtId="0" fontId="5" fillId="0" borderId="0" xfId="0" applyFont="1"/>
    <xf numFmtId="0" fontId="0" fillId="4" borderId="0" xfId="0" applyFill="1"/>
    <xf numFmtId="166" fontId="5" fillId="0" borderId="0" xfId="0" applyNumberFormat="1" applyFont="1" applyAlignment="1">
      <alignment horizontal="left"/>
    </xf>
    <xf numFmtId="2" fontId="0" fillId="0" borderId="0" xfId="0" applyNumberFormat="1" applyFill="1" applyProtection="1">
      <protection locked="0"/>
    </xf>
    <xf numFmtId="0" fontId="5" fillId="5" borderId="0" xfId="0" applyFont="1" applyFill="1" applyAlignment="1">
      <alignment horizontal="left"/>
    </xf>
    <xf numFmtId="0" fontId="8" fillId="5" borderId="0" xfId="0" applyFont="1" applyFill="1"/>
    <xf numFmtId="0" fontId="9" fillId="5" borderId="0" xfId="0" applyFont="1" applyFill="1"/>
    <xf numFmtId="0" fontId="9" fillId="5" borderId="0" xfId="0" applyFont="1" applyFill="1" applyAlignment="1">
      <alignment horizontal="right"/>
    </xf>
    <xf numFmtId="0" fontId="9" fillId="5" borderId="0" xfId="0" applyFont="1" applyFill="1" applyAlignment="1">
      <alignment horizontal="center"/>
    </xf>
    <xf numFmtId="0" fontId="3" fillId="5" borderId="0" xfId="0" applyFont="1" applyFill="1"/>
    <xf numFmtId="0" fontId="0" fillId="4" borderId="0" xfId="0" applyFill="1" applyAlignment="1">
      <alignment horizontal="left"/>
    </xf>
    <xf numFmtId="0" fontId="0" fillId="4" borderId="0" xfId="0" applyNumberFormat="1" applyFont="1" applyFill="1" applyAlignment="1">
      <alignment horizontal="left"/>
    </xf>
    <xf numFmtId="0" fontId="0" fillId="4" borderId="0" xfId="0" applyFill="1" applyProtection="1"/>
    <xf numFmtId="0" fontId="0" fillId="4" borderId="0" xfId="0" applyNumberFormat="1" applyFill="1" applyProtection="1"/>
    <xf numFmtId="0" fontId="0" fillId="4" borderId="0" xfId="0" applyFill="1" applyProtection="1">
      <protection locked="0"/>
    </xf>
    <xf numFmtId="0" fontId="0" fillId="4" borderId="0" xfId="0" applyNumberFormat="1" applyFill="1" applyProtection="1">
      <protection locked="0"/>
    </xf>
    <xf numFmtId="3" fontId="0" fillId="4" borderId="0" xfId="0" applyNumberFormat="1" applyFill="1" applyAlignment="1" applyProtection="1">
      <alignment horizontal="right"/>
      <protection locked="0"/>
    </xf>
    <xf numFmtId="0" fontId="0" fillId="4" borderId="0" xfId="0" applyNumberFormat="1" applyFill="1" applyAlignment="1" applyProtection="1">
      <alignment horizontal="right"/>
      <protection locked="0"/>
    </xf>
    <xf numFmtId="0" fontId="0" fillId="0" borderId="0" xfId="0" applyNumberFormat="1" applyFill="1" applyAlignment="1" applyProtection="1">
      <alignment horizontal="right"/>
      <protection locked="0"/>
    </xf>
    <xf numFmtId="0" fontId="11" fillId="6" borderId="0" xfId="0" applyFont="1" applyFill="1"/>
    <xf numFmtId="0" fontId="0" fillId="0" borderId="0" xfId="0" applyFont="1" applyAlignment="1">
      <alignment horizontal="left"/>
    </xf>
    <xf numFmtId="0" fontId="12" fillId="4" borderId="2" xfId="0" applyFont="1" applyFill="1" applyBorder="1" applyAlignment="1">
      <alignment horizontal="right"/>
    </xf>
    <xf numFmtId="0" fontId="0" fillId="0" borderId="3" xfId="0" applyNumberFormat="1" applyFill="1" applyBorder="1" applyProtection="1">
      <protection locked="0"/>
    </xf>
    <xf numFmtId="0" fontId="5" fillId="4" borderId="0" xfId="0" applyFont="1" applyFill="1"/>
    <xf numFmtId="3" fontId="0" fillId="4" borderId="0" xfId="0" applyNumberFormat="1" applyFill="1" applyAlignment="1">
      <alignment horizontal="right"/>
    </xf>
    <xf numFmtId="0" fontId="0" fillId="4" borderId="0" xfId="0" applyNumberFormat="1" applyFill="1" applyAlignment="1" applyProtection="1">
      <alignment horizontal="left"/>
      <protection locked="0"/>
    </xf>
    <xf numFmtId="0" fontId="0" fillId="0" borderId="0" xfId="0" applyNumberFormat="1" applyFill="1" applyProtection="1">
      <protection locked="0"/>
    </xf>
    <xf numFmtId="0" fontId="5" fillId="4" borderId="0" xfId="0" applyNumberFormat="1" applyFont="1" applyFill="1" applyAlignment="1">
      <alignment horizontal="left"/>
    </xf>
    <xf numFmtId="0" fontId="0" fillId="4" borderId="0" xfId="0" applyNumberFormat="1" applyFill="1" applyAlignment="1">
      <alignment horizontal="right"/>
    </xf>
    <xf numFmtId="0" fontId="13" fillId="4" borderId="0" xfId="0" applyFont="1" applyFill="1"/>
    <xf numFmtId="0" fontId="0" fillId="0" borderId="0" xfId="0" applyBorder="1"/>
    <xf numFmtId="10" fontId="0" fillId="4" borderId="0" xfId="0" applyNumberFormat="1" applyFill="1"/>
    <xf numFmtId="0" fontId="5" fillId="4" borderId="0" xfId="0" applyFont="1" applyFill="1" applyBorder="1"/>
    <xf numFmtId="10" fontId="0" fillId="4" borderId="0" xfId="0" applyNumberFormat="1" applyFill="1" applyAlignment="1">
      <alignment horizontal="right"/>
    </xf>
    <xf numFmtId="0" fontId="0" fillId="4" borderId="0" xfId="0" applyFont="1" applyFill="1" applyBorder="1"/>
    <xf numFmtId="0" fontId="13" fillId="4" borderId="0" xfId="0" applyNumberFormat="1" applyFont="1" applyFill="1" applyAlignment="1">
      <alignment horizontal="right"/>
    </xf>
    <xf numFmtId="166" fontId="0" fillId="4" borderId="0" xfId="0" applyNumberFormat="1" applyFill="1"/>
    <xf numFmtId="166" fontId="0" fillId="0" borderId="0" xfId="0" applyNumberFormat="1" applyFill="1"/>
    <xf numFmtId="3" fontId="5" fillId="4" borderId="0" xfId="0" applyNumberFormat="1" applyFont="1" applyFill="1" applyAlignment="1">
      <alignment horizontal="right"/>
    </xf>
    <xf numFmtId="3" fontId="5" fillId="4" borderId="0" xfId="0" applyNumberFormat="1" applyFont="1" applyFill="1" applyAlignment="1">
      <alignment horizontal="left"/>
    </xf>
    <xf numFmtId="166" fontId="5" fillId="4" borderId="0" xfId="0" applyNumberFormat="1" applyFont="1" applyFill="1"/>
    <xf numFmtId="2" fontId="0" fillId="4" borderId="0" xfId="0" applyNumberFormat="1" applyFill="1" applyAlignment="1">
      <alignment horizontal="right"/>
    </xf>
    <xf numFmtId="0" fontId="0" fillId="2" borderId="0" xfId="0" applyNumberFormat="1" applyFont="1" applyFill="1" applyAlignment="1">
      <alignment horizontal="left"/>
    </xf>
    <xf numFmtId="0" fontId="0" fillId="0" borderId="0" xfId="0" applyFill="1" applyBorder="1" applyProtection="1">
      <protection locked="0"/>
    </xf>
    <xf numFmtId="0" fontId="0" fillId="3" borderId="0" xfId="0" applyFill="1" applyAlignment="1">
      <alignment horizontal="left"/>
    </xf>
    <xf numFmtId="0" fontId="0" fillId="0" borderId="0" xfId="0" applyNumberFormat="1" applyAlignment="1">
      <alignment horizontal="left"/>
    </xf>
    <xf numFmtId="0" fontId="17" fillId="9" borderId="0" xfId="4"/>
    <xf numFmtId="2" fontId="0" fillId="0" borderId="0" xfId="0" applyNumberFormat="1"/>
    <xf numFmtId="0" fontId="0" fillId="0" borderId="0" xfId="0" applyAlignment="1">
      <alignment horizontal="center"/>
    </xf>
    <xf numFmtId="164" fontId="0" fillId="0" borderId="0" xfId="0" applyNumberFormat="1"/>
    <xf numFmtId="165" fontId="0" fillId="0" borderId="0" xfId="0" applyNumberFormat="1"/>
    <xf numFmtId="167" fontId="0" fillId="0" borderId="0" xfId="0" applyNumberFormat="1"/>
    <xf numFmtId="0" fontId="18" fillId="0" borderId="0" xfId="0" applyFont="1"/>
    <xf numFmtId="4" fontId="0" fillId="0" borderId="0" xfId="0" applyNumberFormat="1"/>
    <xf numFmtId="0" fontId="16" fillId="8" borderId="0" xfId="2"/>
    <xf numFmtId="0" fontId="16" fillId="8" borderId="0" xfId="2" quotePrefix="1"/>
    <xf numFmtId="0" fontId="16" fillId="8" borderId="0" xfId="2" applyNumberFormat="1" applyAlignment="1">
      <alignment horizontal="right"/>
    </xf>
    <xf numFmtId="0" fontId="0" fillId="10" borderId="0" xfId="0" applyFill="1"/>
    <xf numFmtId="167" fontId="0" fillId="0" borderId="0" xfId="0" quotePrefix="1" applyNumberFormat="1"/>
    <xf numFmtId="0" fontId="0" fillId="10" borderId="0" xfId="0" applyFill="1" applyAlignment="1">
      <alignment horizontal="right"/>
    </xf>
    <xf numFmtId="9" fontId="0" fillId="10" borderId="0" xfId="0" applyNumberFormat="1" applyFill="1"/>
    <xf numFmtId="9" fontId="0" fillId="10" borderId="0" xfId="0" applyNumberFormat="1" applyFill="1" applyBorder="1"/>
    <xf numFmtId="0" fontId="21" fillId="0" borderId="0" xfId="0" applyFont="1"/>
    <xf numFmtId="0" fontId="22" fillId="0" borderId="0" xfId="0" applyFont="1"/>
    <xf numFmtId="0" fontId="23" fillId="0" borderId="0" xfId="0" applyFont="1"/>
    <xf numFmtId="0" fontId="23" fillId="0" borderId="0" xfId="0" applyFont="1" applyAlignment="1">
      <alignment horizontal="right"/>
    </xf>
    <xf numFmtId="0" fontId="0" fillId="11" borderId="0" xfId="0" applyFill="1"/>
    <xf numFmtId="0" fontId="0" fillId="12" borderId="0" xfId="0" applyFill="1"/>
    <xf numFmtId="0" fontId="0" fillId="13" borderId="0" xfId="0" applyFill="1" applyAlignment="1">
      <alignment horizontal="left"/>
    </xf>
    <xf numFmtId="0" fontId="0" fillId="13" borderId="0" xfId="0" applyFont="1" applyFill="1"/>
    <xf numFmtId="0" fontId="0" fillId="12" borderId="0" xfId="0" applyFont="1" applyFill="1" applyProtection="1">
      <protection locked="0"/>
    </xf>
    <xf numFmtId="0" fontId="0" fillId="14" borderId="0" xfId="0" applyFont="1" applyFill="1" applyBorder="1"/>
    <xf numFmtId="0" fontId="0" fillId="14" borderId="0" xfId="0" applyFill="1" applyBorder="1" applyProtection="1">
      <protection locked="0"/>
    </xf>
    <xf numFmtId="0" fontId="0" fillId="14" borderId="0" xfId="0" applyFill="1" applyBorder="1"/>
    <xf numFmtId="0" fontId="0" fillId="13" borderId="0" xfId="0" applyFill="1" applyAlignment="1">
      <alignment horizontal="right"/>
    </xf>
    <xf numFmtId="0" fontId="0" fillId="13" borderId="0" xfId="0" applyFont="1" applyFill="1" applyBorder="1"/>
    <xf numFmtId="0" fontId="0" fillId="12" borderId="0" xfId="0" applyNumberFormat="1" applyFill="1"/>
    <xf numFmtId="0" fontId="0" fillId="15" borderId="0" xfId="0" applyFill="1" applyAlignment="1">
      <alignment horizontal="left"/>
    </xf>
    <xf numFmtId="0" fontId="14" fillId="15" borderId="0" xfId="0" applyFont="1" applyFill="1" applyAlignment="1">
      <alignment horizontal="right" wrapText="1"/>
    </xf>
    <xf numFmtId="0" fontId="0" fillId="15" borderId="0" xfId="0" applyFill="1"/>
    <xf numFmtId="14" fontId="25" fillId="0" borderId="0" xfId="0" applyNumberFormat="1" applyFont="1" applyAlignment="1">
      <alignment horizontal="left"/>
    </xf>
    <xf numFmtId="0" fontId="27" fillId="0" borderId="0" xfId="5" applyFont="1"/>
    <xf numFmtId="168" fontId="0" fillId="13" borderId="0" xfId="0" applyNumberFormat="1" applyFill="1" applyAlignment="1" applyProtection="1">
      <alignment horizontal="left"/>
    </xf>
    <xf numFmtId="0" fontId="0" fillId="2" borderId="0" xfId="0" applyFill="1"/>
    <xf numFmtId="0" fontId="0" fillId="13" borderId="0" xfId="0" applyFill="1"/>
    <xf numFmtId="0" fontId="30" fillId="2" borderId="0" xfId="0" applyFont="1" applyFill="1" applyAlignment="1">
      <alignment wrapText="1" shrinkToFit="1"/>
    </xf>
    <xf numFmtId="0" fontId="29" fillId="2" borderId="0" xfId="0" applyFont="1" applyFill="1" applyAlignment="1">
      <alignment wrapText="1"/>
    </xf>
    <xf numFmtId="0" fontId="0" fillId="16" borderId="0" xfId="0" applyFill="1"/>
    <xf numFmtId="0" fontId="0" fillId="17" borderId="0" xfId="0" applyFill="1" applyBorder="1" applyProtection="1">
      <protection locked="0"/>
    </xf>
    <xf numFmtId="164" fontId="0" fillId="0" borderId="4" xfId="0" applyNumberFormat="1" applyFill="1" applyBorder="1" applyAlignment="1" applyProtection="1">
      <alignment horizontal="right"/>
      <protection locked="0"/>
    </xf>
    <xf numFmtId="164" fontId="0" fillId="0" borderId="4" xfId="0" applyNumberFormat="1" applyFill="1" applyBorder="1" applyProtection="1">
      <protection locked="0"/>
    </xf>
    <xf numFmtId="0" fontId="0" fillId="4" borderId="0" xfId="0" applyFill="1" applyAlignment="1">
      <alignment horizontal="right"/>
    </xf>
    <xf numFmtId="0" fontId="0" fillId="4" borderId="0" xfId="0" applyNumberFormat="1" applyFont="1" applyFill="1" applyAlignment="1">
      <alignment horizontal="right"/>
    </xf>
    <xf numFmtId="0" fontId="0" fillId="0" borderId="5" xfId="0" applyBorder="1"/>
    <xf numFmtId="0" fontId="0" fillId="18" borderId="0" xfId="0" applyFill="1"/>
    <xf numFmtId="0" fontId="5" fillId="13" borderId="0" xfId="0" applyFont="1" applyFill="1" applyAlignment="1">
      <alignment horizontal="center"/>
    </xf>
    <xf numFmtId="0" fontId="3" fillId="14" borderId="0" xfId="0" applyFont="1" applyFill="1" applyBorder="1" applyAlignment="1">
      <alignment horizontal="center" vertical="center" wrapText="1" shrinkToFit="1"/>
    </xf>
    <xf numFmtId="0" fontId="3" fillId="14" borderId="1" xfId="0" applyFont="1" applyFill="1" applyBorder="1" applyAlignment="1">
      <alignment horizontal="center" vertical="center" wrapText="1" shrinkToFit="1"/>
    </xf>
    <xf numFmtId="0" fontId="0" fillId="13" borderId="0" xfId="0" applyFont="1" applyFill="1" applyBorder="1" applyAlignment="1">
      <alignment horizontal="left"/>
    </xf>
    <xf numFmtId="0" fontId="4" fillId="2" borderId="0" xfId="0" applyFont="1" applyFill="1" applyBorder="1" applyAlignment="1">
      <alignment horizontal="center"/>
    </xf>
    <xf numFmtId="0" fontId="6" fillId="14" borderId="0" xfId="3" applyNumberFormat="1" applyFont="1" applyFill="1" applyBorder="1" applyAlignment="1" applyProtection="1">
      <alignment horizontal="center" wrapText="1" shrinkToFit="1"/>
    </xf>
    <xf numFmtId="0" fontId="16" fillId="8" borderId="0" xfId="2" applyAlignment="1">
      <alignment horizontal="center"/>
    </xf>
    <xf numFmtId="0" fontId="15" fillId="7" borderId="0" xfId="1" applyAlignment="1">
      <alignment horizontal="center"/>
    </xf>
  </cellXfs>
  <cellStyles count="6">
    <cellStyle name="Excel Built-in Normal" xfId="5" xr:uid="{00000000-0005-0000-0000-000001000000}"/>
    <cellStyle name="Gut" xfId="2" builtinId="26"/>
    <cellStyle name="Link" xfId="3" builtinId="8"/>
    <cellStyle name="Neutral" xfId="4" builtinId="28"/>
    <cellStyle name="Schlecht" xfId="1"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[1]CIS2017!$C$9</c:f>
              <c:strCache>
                <c:ptCount val="1"/>
                <c:pt idx="0">
                  <c:v>CIS</c:v>
                </c:pt>
              </c:strCache>
            </c:strRef>
          </c:tx>
          <c:invertIfNegative val="0"/>
          <c:cat>
            <c:numRef>
              <c:f>[1]CIS2017!$B$10:$B$80</c:f>
              <c:numCache>
                <c:formatCode>General</c:formatCode>
                <c:ptCount val="71"/>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2400</c:v>
                </c:pt>
                <c:pt idx="25">
                  <c:v>2500</c:v>
                </c:pt>
                <c:pt idx="26">
                  <c:v>2600</c:v>
                </c:pt>
                <c:pt idx="27">
                  <c:v>2700</c:v>
                </c:pt>
                <c:pt idx="28">
                  <c:v>2800</c:v>
                </c:pt>
                <c:pt idx="29">
                  <c:v>2900</c:v>
                </c:pt>
                <c:pt idx="30">
                  <c:v>3000</c:v>
                </c:pt>
                <c:pt idx="31">
                  <c:v>3100</c:v>
                </c:pt>
                <c:pt idx="32">
                  <c:v>3200</c:v>
                </c:pt>
                <c:pt idx="33">
                  <c:v>3300</c:v>
                </c:pt>
                <c:pt idx="34">
                  <c:v>3400</c:v>
                </c:pt>
                <c:pt idx="35">
                  <c:v>3500</c:v>
                </c:pt>
                <c:pt idx="36">
                  <c:v>3600</c:v>
                </c:pt>
                <c:pt idx="37">
                  <c:v>3700</c:v>
                </c:pt>
                <c:pt idx="38">
                  <c:v>3800</c:v>
                </c:pt>
                <c:pt idx="39">
                  <c:v>3900</c:v>
                </c:pt>
                <c:pt idx="40">
                  <c:v>4000</c:v>
                </c:pt>
                <c:pt idx="41">
                  <c:v>4100</c:v>
                </c:pt>
                <c:pt idx="42">
                  <c:v>4200</c:v>
                </c:pt>
                <c:pt idx="43">
                  <c:v>4300</c:v>
                </c:pt>
                <c:pt idx="44">
                  <c:v>4400</c:v>
                </c:pt>
                <c:pt idx="45">
                  <c:v>4500</c:v>
                </c:pt>
                <c:pt idx="46">
                  <c:v>4600</c:v>
                </c:pt>
                <c:pt idx="47">
                  <c:v>4700</c:v>
                </c:pt>
                <c:pt idx="48">
                  <c:v>4800</c:v>
                </c:pt>
                <c:pt idx="49">
                  <c:v>4900</c:v>
                </c:pt>
                <c:pt idx="50">
                  <c:v>5000</c:v>
                </c:pt>
                <c:pt idx="51">
                  <c:v>5100</c:v>
                </c:pt>
                <c:pt idx="52">
                  <c:v>5200</c:v>
                </c:pt>
                <c:pt idx="53">
                  <c:v>5300</c:v>
                </c:pt>
                <c:pt idx="54">
                  <c:v>5400</c:v>
                </c:pt>
                <c:pt idx="55">
                  <c:v>5500</c:v>
                </c:pt>
                <c:pt idx="56">
                  <c:v>5600</c:v>
                </c:pt>
                <c:pt idx="57">
                  <c:v>5700</c:v>
                </c:pt>
                <c:pt idx="58">
                  <c:v>5800</c:v>
                </c:pt>
                <c:pt idx="59">
                  <c:v>5900</c:v>
                </c:pt>
                <c:pt idx="60">
                  <c:v>6000</c:v>
                </c:pt>
                <c:pt idx="61">
                  <c:v>6100</c:v>
                </c:pt>
                <c:pt idx="62">
                  <c:v>6200</c:v>
                </c:pt>
                <c:pt idx="63">
                  <c:v>6300</c:v>
                </c:pt>
                <c:pt idx="64">
                  <c:v>6400</c:v>
                </c:pt>
                <c:pt idx="65">
                  <c:v>6500</c:v>
                </c:pt>
                <c:pt idx="66">
                  <c:v>6600</c:v>
                </c:pt>
                <c:pt idx="67">
                  <c:v>6700</c:v>
                </c:pt>
                <c:pt idx="68">
                  <c:v>6800</c:v>
                </c:pt>
                <c:pt idx="69">
                  <c:v>6900</c:v>
                </c:pt>
                <c:pt idx="70">
                  <c:v>7000</c:v>
                </c:pt>
              </c:numCache>
            </c:numRef>
          </c:cat>
          <c:val>
            <c:numRef>
              <c:f>[1]CIS2017!$C$10:$C$80</c:f>
              <c:numCache>
                <c:formatCode>General</c:formatCode>
                <c:ptCount val="71"/>
                <c:pt idx="0">
                  <c:v>0</c:v>
                </c:pt>
                <c:pt idx="1">
                  <c:v>25.700000000000003</c:v>
                </c:pt>
                <c:pt idx="2">
                  <c:v>28.6</c:v>
                </c:pt>
                <c:pt idx="3">
                  <c:v>31.5</c:v>
                </c:pt>
                <c:pt idx="4">
                  <c:v>34.4</c:v>
                </c:pt>
                <c:pt idx="5">
                  <c:v>37.300000000000004</c:v>
                </c:pt>
                <c:pt idx="6">
                  <c:v>40.200000000000003</c:v>
                </c:pt>
                <c:pt idx="7">
                  <c:v>43.1</c:v>
                </c:pt>
                <c:pt idx="8">
                  <c:v>46</c:v>
                </c:pt>
                <c:pt idx="9">
                  <c:v>48.9</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49</c:v>
                </c:pt>
                <c:pt idx="35">
                  <c:v>47.5</c:v>
                </c:pt>
                <c:pt idx="36">
                  <c:v>46</c:v>
                </c:pt>
                <c:pt idx="37">
                  <c:v>44.5</c:v>
                </c:pt>
                <c:pt idx="38">
                  <c:v>43</c:v>
                </c:pt>
                <c:pt idx="39">
                  <c:v>41.5</c:v>
                </c:pt>
                <c:pt idx="40">
                  <c:v>40</c:v>
                </c:pt>
                <c:pt idx="41">
                  <c:v>38.5</c:v>
                </c:pt>
                <c:pt idx="42">
                  <c:v>37</c:v>
                </c:pt>
                <c:pt idx="43">
                  <c:v>35.5</c:v>
                </c:pt>
                <c:pt idx="44">
                  <c:v>34</c:v>
                </c:pt>
                <c:pt idx="45">
                  <c:v>32.5</c:v>
                </c:pt>
                <c:pt idx="46">
                  <c:v>31</c:v>
                </c:pt>
                <c:pt idx="47">
                  <c:v>29.5</c:v>
                </c:pt>
                <c:pt idx="48">
                  <c:v>28</c:v>
                </c:pt>
                <c:pt idx="49">
                  <c:v>26.5</c:v>
                </c:pt>
                <c:pt idx="50">
                  <c:v>25</c:v>
                </c:pt>
                <c:pt idx="51">
                  <c:v>23.5</c:v>
                </c:pt>
                <c:pt idx="52">
                  <c:v>22</c:v>
                </c:pt>
                <c:pt idx="53">
                  <c:v>20.5</c:v>
                </c:pt>
                <c:pt idx="54">
                  <c:v>19</c:v>
                </c:pt>
                <c:pt idx="55">
                  <c:v>17.5</c:v>
                </c:pt>
                <c:pt idx="56">
                  <c:v>16</c:v>
                </c:pt>
                <c:pt idx="57">
                  <c:v>14.5</c:v>
                </c:pt>
                <c:pt idx="58">
                  <c:v>13</c:v>
                </c:pt>
                <c:pt idx="59">
                  <c:v>11.5</c:v>
                </c:pt>
                <c:pt idx="60">
                  <c:v>10</c:v>
                </c:pt>
                <c:pt idx="61">
                  <c:v>8.5</c:v>
                </c:pt>
                <c:pt idx="62">
                  <c:v>7</c:v>
                </c:pt>
                <c:pt idx="63">
                  <c:v>5.5</c:v>
                </c:pt>
                <c:pt idx="64">
                  <c:v>4</c:v>
                </c:pt>
                <c:pt idx="65">
                  <c:v>2.5</c:v>
                </c:pt>
                <c:pt idx="66">
                  <c:v>1</c:v>
                </c:pt>
                <c:pt idx="67">
                  <c:v>0</c:v>
                </c:pt>
                <c:pt idx="68">
                  <c:v>0</c:v>
                </c:pt>
                <c:pt idx="69">
                  <c:v>0</c:v>
                </c:pt>
                <c:pt idx="70">
                  <c:v>0</c:v>
                </c:pt>
              </c:numCache>
            </c:numRef>
          </c:val>
          <c:extLst>
            <c:ext xmlns:c16="http://schemas.microsoft.com/office/drawing/2014/chart" uri="{C3380CC4-5D6E-409C-BE32-E72D297353CC}">
              <c16:uniqueId val="{00000000-8FC0-4463-B871-4D879244A3E5}"/>
            </c:ext>
          </c:extLst>
        </c:ser>
        <c:dLbls>
          <c:showLegendKey val="0"/>
          <c:showVal val="0"/>
          <c:showCatName val="0"/>
          <c:showSerName val="0"/>
          <c:showPercent val="0"/>
          <c:showBubbleSize val="0"/>
        </c:dLbls>
        <c:gapWidth val="150"/>
        <c:axId val="80688256"/>
        <c:axId val="80689792"/>
      </c:barChart>
      <c:catAx>
        <c:axId val="80688256"/>
        <c:scaling>
          <c:orientation val="minMax"/>
        </c:scaling>
        <c:delete val="0"/>
        <c:axPos val="b"/>
        <c:numFmt formatCode="General" sourceLinked="1"/>
        <c:majorTickMark val="out"/>
        <c:minorTickMark val="none"/>
        <c:tickLblPos val="nextTo"/>
        <c:crossAx val="80689792"/>
        <c:crosses val="autoZero"/>
        <c:auto val="1"/>
        <c:lblAlgn val="ctr"/>
        <c:lblOffset val="100"/>
        <c:noMultiLvlLbl val="0"/>
      </c:catAx>
      <c:valAx>
        <c:axId val="80689792"/>
        <c:scaling>
          <c:orientation val="minMax"/>
        </c:scaling>
        <c:delete val="0"/>
        <c:axPos val="l"/>
        <c:majorGridlines/>
        <c:numFmt formatCode="General" sourceLinked="1"/>
        <c:majorTickMark val="out"/>
        <c:minorTickMark val="none"/>
        <c:tickLblPos val="nextTo"/>
        <c:crossAx val="80688256"/>
        <c:crosses val="autoZero"/>
        <c:crossBetween val="between"/>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200025</xdr:colOff>
      <xdr:row>65</xdr:row>
      <xdr:rowOff>57150</xdr:rowOff>
    </xdr:from>
    <xdr:to>
      <xdr:col>7</xdr:col>
      <xdr:colOff>276225</xdr:colOff>
      <xdr:row>66</xdr:row>
      <xdr:rowOff>66675</xdr:rowOff>
    </xdr:to>
    <xdr:sp macro="" textlink="">
      <xdr:nvSpPr>
        <xdr:cNvPr id="1060" name="AutoShape 315">
          <a:extLst>
            <a:ext uri="{FF2B5EF4-FFF2-40B4-BE49-F238E27FC236}">
              <a16:creationId xmlns:a16="http://schemas.microsoft.com/office/drawing/2014/main" id="{00000000-0008-0000-0000-000024040000}"/>
            </a:ext>
          </a:extLst>
        </xdr:cNvPr>
        <xdr:cNvSpPr>
          <a:spLocks noChangeArrowheads="1" noChangeShapeType="1" noTextEdit="1"/>
        </xdr:cNvSpPr>
      </xdr:nvSpPr>
      <xdr:spPr bwMode="auto">
        <a:xfrm>
          <a:off x="5086350" y="11220450"/>
          <a:ext cx="1819275" cy="190500"/>
        </a:xfrm>
        <a:prstGeom prst="rect">
          <a:avLst/>
        </a:prstGeom>
      </xdr:spPr>
      <xdr:txBody>
        <a:bodyPr wrap="none" fromWordArt="1">
          <a:prstTxWarp prst="textPlain">
            <a:avLst>
              <a:gd name="adj" fmla="val 50000"/>
            </a:avLst>
          </a:prstTxWarp>
        </a:bodyPr>
        <a:lstStyle/>
        <a:p>
          <a:pPr algn="dist" rtl="0">
            <a:lnSpc>
              <a:spcPts val="1300"/>
            </a:lnSpc>
            <a:buNone/>
          </a:pPr>
          <a:r>
            <a:rPr lang="fr-FR" sz="1200" kern="10" spc="0">
              <a:ln w="12600" cap="sq">
                <a:solidFill>
                  <a:srgbClr val="EAEAEA"/>
                </a:solidFill>
                <a:miter lim="800000"/>
                <a:headEnd/>
                <a:tailEnd/>
              </a:ln>
              <a:gradFill rotWithShape="0">
                <a:gsLst>
                  <a:gs pos="0">
                    <a:srgbClr val="0000FF"/>
                  </a:gs>
                  <a:gs pos="100000">
                    <a:srgbClr val="9400ED"/>
                  </a:gs>
                </a:gsLst>
                <a:lin ang="0" scaled="1"/>
              </a:gradFill>
              <a:effectLst>
                <a:outerShdw dist="153753" dir="2700000" algn="ctr" rotWithShape="0">
                  <a:srgbClr val="C0C0C0"/>
                </a:outerShdw>
              </a:effectLst>
              <a:latin typeface="Arial Black"/>
            </a:rPr>
            <a:t>SANS GARANTIE</a:t>
          </a:r>
        </a:p>
        <a:p>
          <a:pPr algn="dist" rtl="0">
            <a:buNone/>
          </a:pPr>
          <a:r>
            <a:rPr lang="fr-FR" sz="1200" kern="10" spc="0">
              <a:ln w="12600" cap="sq">
                <a:solidFill>
                  <a:srgbClr val="EAEAEA"/>
                </a:solidFill>
                <a:miter lim="800000"/>
                <a:headEnd/>
                <a:tailEnd/>
              </a:ln>
              <a:gradFill rotWithShape="0">
                <a:gsLst>
                  <a:gs pos="0">
                    <a:srgbClr val="0000FF"/>
                  </a:gs>
                  <a:gs pos="100000">
                    <a:srgbClr val="9400ED"/>
                  </a:gs>
                </a:gsLst>
                <a:lin ang="0" scaled="1"/>
              </a:gradFill>
              <a:effectLst>
                <a:outerShdw dist="153753" dir="2700000" algn="ctr" rotWithShape="0">
                  <a:srgbClr val="C0C0C0"/>
                </a:outerShdw>
              </a:effectLst>
              <a:latin typeface="Arial Black"/>
            </a:rPr>
            <a:t>COPYRIGHTS: FRÄNK SIEBENALLER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47624</xdr:colOff>
      <xdr:row>9</xdr:row>
      <xdr:rowOff>28575</xdr:rowOff>
    </xdr:from>
    <xdr:to>
      <xdr:col>14</xdr:col>
      <xdr:colOff>514350</xdr:colOff>
      <xdr:row>33</xdr:row>
      <xdr:rowOff>9525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228;nk%20S/Documents/Exel%20Programme/Steuermodu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uern"/>
      <sheetName val="Steuermodul2017"/>
      <sheetName val="CIS2017"/>
    </sheetNames>
    <sheetDataSet>
      <sheetData sheetId="0" refreshError="1"/>
      <sheetData sheetId="1" refreshError="1"/>
      <sheetData sheetId="2">
        <row r="9">
          <cell r="C9" t="str">
            <v>CIS</v>
          </cell>
        </row>
        <row r="10">
          <cell r="B10">
            <v>0</v>
          </cell>
          <cell r="C10">
            <v>0</v>
          </cell>
        </row>
        <row r="11">
          <cell r="B11">
            <v>100</v>
          </cell>
          <cell r="C11">
            <v>25.700000000000003</v>
          </cell>
        </row>
        <row r="12">
          <cell r="B12">
            <v>200</v>
          </cell>
          <cell r="C12">
            <v>28.6</v>
          </cell>
        </row>
        <row r="13">
          <cell r="B13">
            <v>300</v>
          </cell>
          <cell r="C13">
            <v>31.5</v>
          </cell>
        </row>
        <row r="14">
          <cell r="B14">
            <v>400</v>
          </cell>
          <cell r="C14">
            <v>34.4</v>
          </cell>
        </row>
        <row r="15">
          <cell r="B15">
            <v>500</v>
          </cell>
          <cell r="C15">
            <v>37.300000000000004</v>
          </cell>
        </row>
        <row r="16">
          <cell r="B16">
            <v>600</v>
          </cell>
          <cell r="C16">
            <v>40.200000000000003</v>
          </cell>
        </row>
        <row r="17">
          <cell r="B17">
            <v>700</v>
          </cell>
          <cell r="C17">
            <v>43.1</v>
          </cell>
        </row>
        <row r="18">
          <cell r="B18">
            <v>800</v>
          </cell>
          <cell r="C18">
            <v>46</v>
          </cell>
        </row>
        <row r="19">
          <cell r="B19">
            <v>900</v>
          </cell>
          <cell r="C19">
            <v>48.9</v>
          </cell>
        </row>
        <row r="20">
          <cell r="B20">
            <v>1000</v>
          </cell>
          <cell r="C20">
            <v>50</v>
          </cell>
        </row>
        <row r="21">
          <cell r="B21">
            <v>1100</v>
          </cell>
          <cell r="C21">
            <v>50</v>
          </cell>
        </row>
        <row r="22">
          <cell r="B22">
            <v>1200</v>
          </cell>
          <cell r="C22">
            <v>50</v>
          </cell>
        </row>
        <row r="23">
          <cell r="B23">
            <v>1300</v>
          </cell>
          <cell r="C23">
            <v>50</v>
          </cell>
        </row>
        <row r="24">
          <cell r="B24">
            <v>1400</v>
          </cell>
          <cell r="C24">
            <v>50</v>
          </cell>
        </row>
        <row r="25">
          <cell r="B25">
            <v>1500</v>
          </cell>
          <cell r="C25">
            <v>50</v>
          </cell>
        </row>
        <row r="26">
          <cell r="B26">
            <v>1600</v>
          </cell>
          <cell r="C26">
            <v>50</v>
          </cell>
        </row>
        <row r="27">
          <cell r="B27">
            <v>1700</v>
          </cell>
          <cell r="C27">
            <v>50</v>
          </cell>
        </row>
        <row r="28">
          <cell r="B28">
            <v>1800</v>
          </cell>
          <cell r="C28">
            <v>50</v>
          </cell>
        </row>
        <row r="29">
          <cell r="B29">
            <v>1900</v>
          </cell>
          <cell r="C29">
            <v>50</v>
          </cell>
        </row>
        <row r="30">
          <cell r="B30">
            <v>2000</v>
          </cell>
          <cell r="C30">
            <v>50</v>
          </cell>
        </row>
        <row r="31">
          <cell r="B31">
            <v>2100</v>
          </cell>
          <cell r="C31">
            <v>50</v>
          </cell>
        </row>
        <row r="32">
          <cell r="B32">
            <v>2200</v>
          </cell>
          <cell r="C32">
            <v>50</v>
          </cell>
        </row>
        <row r="33">
          <cell r="B33">
            <v>2300</v>
          </cell>
          <cell r="C33">
            <v>50</v>
          </cell>
        </row>
        <row r="34">
          <cell r="B34">
            <v>2400</v>
          </cell>
          <cell r="C34">
            <v>50</v>
          </cell>
        </row>
        <row r="35">
          <cell r="B35">
            <v>2500</v>
          </cell>
          <cell r="C35">
            <v>50</v>
          </cell>
        </row>
        <row r="36">
          <cell r="B36">
            <v>2600</v>
          </cell>
          <cell r="C36">
            <v>50</v>
          </cell>
        </row>
        <row r="37">
          <cell r="B37">
            <v>2700</v>
          </cell>
          <cell r="C37">
            <v>50</v>
          </cell>
        </row>
        <row r="38">
          <cell r="B38">
            <v>2800</v>
          </cell>
          <cell r="C38">
            <v>50</v>
          </cell>
        </row>
        <row r="39">
          <cell r="B39">
            <v>2900</v>
          </cell>
          <cell r="C39">
            <v>50</v>
          </cell>
        </row>
        <row r="40">
          <cell r="B40">
            <v>3000</v>
          </cell>
          <cell r="C40">
            <v>50</v>
          </cell>
        </row>
        <row r="41">
          <cell r="B41">
            <v>3100</v>
          </cell>
          <cell r="C41">
            <v>50</v>
          </cell>
        </row>
        <row r="42">
          <cell r="B42">
            <v>3200</v>
          </cell>
          <cell r="C42">
            <v>50</v>
          </cell>
        </row>
        <row r="43">
          <cell r="B43">
            <v>3300</v>
          </cell>
          <cell r="C43">
            <v>50</v>
          </cell>
        </row>
        <row r="44">
          <cell r="B44">
            <v>3400</v>
          </cell>
          <cell r="C44">
            <v>49</v>
          </cell>
        </row>
        <row r="45">
          <cell r="B45">
            <v>3500</v>
          </cell>
          <cell r="C45">
            <v>47.5</v>
          </cell>
        </row>
        <row r="46">
          <cell r="B46">
            <v>3600</v>
          </cell>
          <cell r="C46">
            <v>46</v>
          </cell>
        </row>
        <row r="47">
          <cell r="B47">
            <v>3700</v>
          </cell>
          <cell r="C47">
            <v>44.5</v>
          </cell>
        </row>
        <row r="48">
          <cell r="B48">
            <v>3800</v>
          </cell>
          <cell r="C48">
            <v>43</v>
          </cell>
        </row>
        <row r="49">
          <cell r="B49">
            <v>3900</v>
          </cell>
          <cell r="C49">
            <v>41.5</v>
          </cell>
        </row>
        <row r="50">
          <cell r="B50">
            <v>4000</v>
          </cell>
          <cell r="C50">
            <v>40</v>
          </cell>
        </row>
        <row r="51">
          <cell r="B51">
            <v>4100</v>
          </cell>
          <cell r="C51">
            <v>38.5</v>
          </cell>
        </row>
        <row r="52">
          <cell r="B52">
            <v>4200</v>
          </cell>
          <cell r="C52">
            <v>37</v>
          </cell>
        </row>
        <row r="53">
          <cell r="B53">
            <v>4300</v>
          </cell>
          <cell r="C53">
            <v>35.5</v>
          </cell>
        </row>
        <row r="54">
          <cell r="B54">
            <v>4400</v>
          </cell>
          <cell r="C54">
            <v>34</v>
          </cell>
        </row>
        <row r="55">
          <cell r="B55">
            <v>4500</v>
          </cell>
          <cell r="C55">
            <v>32.5</v>
          </cell>
        </row>
        <row r="56">
          <cell r="B56">
            <v>4600</v>
          </cell>
          <cell r="C56">
            <v>31</v>
          </cell>
        </row>
        <row r="57">
          <cell r="B57">
            <v>4700</v>
          </cell>
          <cell r="C57">
            <v>29.5</v>
          </cell>
        </row>
        <row r="58">
          <cell r="B58">
            <v>4800</v>
          </cell>
          <cell r="C58">
            <v>28</v>
          </cell>
        </row>
        <row r="59">
          <cell r="B59">
            <v>4900</v>
          </cell>
          <cell r="C59">
            <v>26.5</v>
          </cell>
        </row>
        <row r="60">
          <cell r="B60">
            <v>5000</v>
          </cell>
          <cell r="C60">
            <v>25</v>
          </cell>
        </row>
        <row r="61">
          <cell r="B61">
            <v>5100</v>
          </cell>
          <cell r="C61">
            <v>23.5</v>
          </cell>
        </row>
        <row r="62">
          <cell r="B62">
            <v>5200</v>
          </cell>
          <cell r="C62">
            <v>22</v>
          </cell>
        </row>
        <row r="63">
          <cell r="B63">
            <v>5300</v>
          </cell>
          <cell r="C63">
            <v>20.5</v>
          </cell>
        </row>
        <row r="64">
          <cell r="B64">
            <v>5400</v>
          </cell>
          <cell r="C64">
            <v>19</v>
          </cell>
        </row>
        <row r="65">
          <cell r="B65">
            <v>5500</v>
          </cell>
          <cell r="C65">
            <v>17.5</v>
          </cell>
        </row>
        <row r="66">
          <cell r="B66">
            <v>5600</v>
          </cell>
          <cell r="C66">
            <v>16</v>
          </cell>
        </row>
        <row r="67">
          <cell r="B67">
            <v>5700</v>
          </cell>
          <cell r="C67">
            <v>14.5</v>
          </cell>
        </row>
        <row r="68">
          <cell r="B68">
            <v>5800</v>
          </cell>
          <cell r="C68">
            <v>13</v>
          </cell>
        </row>
        <row r="69">
          <cell r="B69">
            <v>5900</v>
          </cell>
          <cell r="C69">
            <v>11.5</v>
          </cell>
        </row>
        <row r="70">
          <cell r="B70">
            <v>6000</v>
          </cell>
          <cell r="C70">
            <v>10</v>
          </cell>
        </row>
        <row r="71">
          <cell r="B71">
            <v>6100</v>
          </cell>
          <cell r="C71">
            <v>8.5</v>
          </cell>
        </row>
        <row r="72">
          <cell r="B72">
            <v>6200</v>
          </cell>
          <cell r="C72">
            <v>7</v>
          </cell>
        </row>
        <row r="73">
          <cell r="B73">
            <v>6300</v>
          </cell>
          <cell r="C73">
            <v>5.5</v>
          </cell>
        </row>
        <row r="74">
          <cell r="B74">
            <v>6400</v>
          </cell>
          <cell r="C74">
            <v>4</v>
          </cell>
        </row>
        <row r="75">
          <cell r="B75">
            <v>6500</v>
          </cell>
          <cell r="C75">
            <v>2.5</v>
          </cell>
        </row>
        <row r="76">
          <cell r="B76">
            <v>6600</v>
          </cell>
          <cell r="C76">
            <v>1</v>
          </cell>
        </row>
        <row r="77">
          <cell r="B77">
            <v>6700</v>
          </cell>
          <cell r="C77">
            <v>0</v>
          </cell>
        </row>
        <row r="78">
          <cell r="B78">
            <v>6800</v>
          </cell>
          <cell r="C78">
            <v>0</v>
          </cell>
        </row>
        <row r="79">
          <cell r="B79">
            <v>6900</v>
          </cell>
          <cell r="C79">
            <v>0</v>
          </cell>
        </row>
        <row r="80">
          <cell r="B80">
            <v>7000</v>
          </cell>
          <cell r="C8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cgbhk@gmail.com?subject=demande%20version%20complete%20bulletin%20de%20salair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impotsdirects.public.lu/content/dam/acd/fr/legislation/legi16/a27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89"/>
  <sheetViews>
    <sheetView tabSelected="1" workbookViewId="0">
      <selection activeCell="I16" sqref="I16"/>
    </sheetView>
  </sheetViews>
  <sheetFormatPr baseColWidth="10" defaultColWidth="10.28515625" defaultRowHeight="12.75" x14ac:dyDescent="0.2"/>
  <cols>
    <col min="1" max="1" width="9.140625" style="1" customWidth="1"/>
    <col min="2" max="2" width="32.28515625" customWidth="1"/>
    <col min="3" max="3" width="9.7109375" customWidth="1"/>
    <col min="5" max="5" width="11.85546875" customWidth="1"/>
    <col min="7" max="7" width="15.85546875" customWidth="1"/>
    <col min="8" max="8" width="8.42578125" customWidth="1"/>
    <col min="9" max="9" width="153.42578125" style="75" customWidth="1"/>
    <col min="11" max="11" width="16.140625" customWidth="1"/>
    <col min="12" max="12" width="21.7109375" customWidth="1"/>
    <col min="13" max="13" width="17.28515625" customWidth="1"/>
    <col min="14" max="14" width="18.5703125" customWidth="1"/>
    <col min="15" max="15" width="14.42578125" customWidth="1"/>
    <col min="16" max="16" width="12.140625" customWidth="1"/>
    <col min="17" max="17" width="17.85546875" customWidth="1"/>
    <col min="19" max="19" width="11" customWidth="1"/>
    <col min="21" max="21" width="12" customWidth="1"/>
    <col min="42" max="42" width="43.7109375" style="1" customWidth="1"/>
    <col min="44" max="44" width="19.140625" customWidth="1"/>
    <col min="51" max="51" width="0" hidden="1" customWidth="1"/>
  </cols>
  <sheetData>
    <row r="1" spans="1:42" ht="16.5" customHeight="1" x14ac:dyDescent="0.2">
      <c r="A1" s="76"/>
      <c r="B1" s="103" t="s">
        <v>126</v>
      </c>
      <c r="C1" s="103"/>
      <c r="D1" s="103"/>
      <c r="E1" s="103"/>
      <c r="F1" s="103"/>
      <c r="G1" s="77"/>
      <c r="H1" s="77"/>
      <c r="I1" s="74"/>
      <c r="AP1"/>
    </row>
    <row r="2" spans="1:42" ht="16.5" customHeight="1" thickBot="1" x14ac:dyDescent="0.25">
      <c r="A2" s="104"/>
      <c r="B2" s="79"/>
      <c r="C2" s="80"/>
      <c r="D2" s="81"/>
      <c r="E2" s="77" t="s">
        <v>0</v>
      </c>
      <c r="F2" s="78">
        <v>8.7700999999999993</v>
      </c>
      <c r="G2" s="77"/>
      <c r="H2" s="77"/>
      <c r="I2" s="74"/>
      <c r="AP2"/>
    </row>
    <row r="3" spans="1:42" ht="14.25" thickTop="1" thickBot="1" x14ac:dyDescent="0.25">
      <c r="A3" s="105"/>
      <c r="B3" s="77" t="s">
        <v>1</v>
      </c>
      <c r="C3" s="6">
        <v>222</v>
      </c>
      <c r="D3" s="81"/>
      <c r="E3" s="77" t="s">
        <v>2</v>
      </c>
      <c r="F3" s="90">
        <f>G4*F2</f>
        <v>21.200254774329998</v>
      </c>
      <c r="G3" s="77"/>
      <c r="H3" s="77"/>
      <c r="I3" s="74"/>
      <c r="AP3"/>
    </row>
    <row r="4" spans="1:42" ht="14.25" thickTop="1" thickBot="1" x14ac:dyDescent="0.25">
      <c r="A4" s="105"/>
      <c r="B4" s="79"/>
      <c r="C4" s="80"/>
      <c r="D4" s="81"/>
      <c r="E4" s="77" t="s">
        <v>3</v>
      </c>
      <c r="F4" s="77"/>
      <c r="G4" s="84">
        <f>2.4173333</f>
        <v>2.4173333000000001</v>
      </c>
      <c r="H4" s="77"/>
      <c r="I4" s="74"/>
      <c r="AP4"/>
    </row>
    <row r="5" spans="1:42" ht="17.25" customHeight="1" thickTop="1" thickBot="1" x14ac:dyDescent="0.25">
      <c r="A5" s="105"/>
      <c r="B5" s="83" t="s">
        <v>142</v>
      </c>
      <c r="C5" s="6">
        <v>1</v>
      </c>
      <c r="D5" s="77" t="s">
        <v>143</v>
      </c>
      <c r="E5" s="77"/>
      <c r="F5">
        <v>0</v>
      </c>
      <c r="G5" s="77"/>
      <c r="H5" s="77"/>
      <c r="I5" s="74"/>
      <c r="AP5"/>
    </row>
    <row r="6" spans="1:42" ht="14.25" thickTop="1" thickBot="1" x14ac:dyDescent="0.25">
      <c r="A6" s="105"/>
      <c r="B6" s="83" t="s">
        <v>4</v>
      </c>
      <c r="C6" s="2">
        <v>7</v>
      </c>
      <c r="D6" s="77" t="s">
        <v>5</v>
      </c>
      <c r="E6" s="77"/>
      <c r="F6" s="77">
        <f>IF(C6&lt;5,0,N25)</f>
        <v>24.75</v>
      </c>
      <c r="G6" s="77"/>
      <c r="H6" s="77"/>
      <c r="I6" s="74"/>
      <c r="K6" s="7"/>
      <c r="AP6"/>
    </row>
    <row r="7" spans="1:42" ht="13.5" thickTop="1" x14ac:dyDescent="0.2">
      <c r="A7" s="105"/>
      <c r="B7" s="79"/>
      <c r="C7" s="80"/>
      <c r="D7" s="81"/>
      <c r="E7" s="77"/>
      <c r="F7" s="77"/>
      <c r="G7" s="77"/>
      <c r="H7" s="77"/>
      <c r="I7" s="74"/>
      <c r="J7" s="8"/>
      <c r="K7" s="10"/>
      <c r="AP7"/>
    </row>
    <row r="8" spans="1:42" x14ac:dyDescent="0.2">
      <c r="A8" s="76"/>
      <c r="B8" s="92" t="s">
        <v>8</v>
      </c>
      <c r="C8" s="11">
        <v>100</v>
      </c>
      <c r="D8" s="77">
        <f>164.35*C8/100</f>
        <v>164.35</v>
      </c>
      <c r="E8" s="106" t="s">
        <v>9</v>
      </c>
      <c r="F8" s="106"/>
      <c r="G8" s="77"/>
      <c r="H8" s="77"/>
      <c r="I8" s="74"/>
      <c r="J8" s="8"/>
      <c r="K8" s="10"/>
      <c r="AP8"/>
    </row>
    <row r="9" spans="1:42" x14ac:dyDescent="0.2">
      <c r="A9" s="76"/>
      <c r="B9" s="82" t="s">
        <v>125</v>
      </c>
      <c r="C9" s="83"/>
      <c r="D9" s="108" t="s">
        <v>6</v>
      </c>
      <c r="E9" s="108"/>
      <c r="F9" s="108"/>
      <c r="G9" s="77"/>
      <c r="H9" s="77"/>
      <c r="I9" s="74"/>
      <c r="J9" s="8"/>
      <c r="K9" s="10"/>
      <c r="AP9"/>
    </row>
    <row r="10" spans="1:42" ht="23.25" customHeight="1" x14ac:dyDescent="0.2">
      <c r="A10" s="12"/>
      <c r="B10" s="13" t="s">
        <v>10</v>
      </c>
      <c r="C10" s="13"/>
      <c r="D10" s="14"/>
      <c r="E10" s="15" t="s">
        <v>11</v>
      </c>
      <c r="F10" s="16" t="s">
        <v>12</v>
      </c>
      <c r="G10" s="15" t="s">
        <v>13</v>
      </c>
      <c r="H10" s="17"/>
      <c r="I10" s="74"/>
      <c r="J10" s="8"/>
      <c r="K10" s="10"/>
      <c r="AP10"/>
    </row>
    <row r="11" spans="1:42" x14ac:dyDescent="0.2">
      <c r="A11" s="18"/>
      <c r="B11" s="19" t="s">
        <v>14</v>
      </c>
      <c r="C11" s="20"/>
      <c r="D11" s="21"/>
      <c r="E11" s="20">
        <f>D8-(SUM(E31:E37))</f>
        <v>164.35</v>
      </c>
      <c r="F11" s="99">
        <f>ROUNDDOWN($C$3*$F$3/164.35,4)</f>
        <v>28.636700000000001</v>
      </c>
      <c r="G11" s="9">
        <f>ROUND(E11*F11,2)</f>
        <v>4706.4399999999996</v>
      </c>
      <c r="H11" s="9"/>
      <c r="I11" s="74"/>
      <c r="J11" s="8"/>
      <c r="K11" s="10"/>
      <c r="AP11"/>
    </row>
    <row r="12" spans="1:42" x14ac:dyDescent="0.2">
      <c r="A12" s="18" t="s">
        <v>15</v>
      </c>
      <c r="B12" s="19" t="s">
        <v>16</v>
      </c>
      <c r="C12" s="22"/>
      <c r="D12" s="23"/>
      <c r="E12" s="2">
        <v>0</v>
      </c>
      <c r="F12" s="99">
        <f>ROUND(F13*1.25,4)</f>
        <v>4.6875</v>
      </c>
      <c r="G12" s="9">
        <f>ROUNDDOWN(E12*F12,2)</f>
        <v>0</v>
      </c>
      <c r="H12" s="9"/>
      <c r="I12" s="74"/>
      <c r="J12" s="8"/>
      <c r="K12" s="10"/>
      <c r="AP12"/>
    </row>
    <row r="13" spans="1:42" x14ac:dyDescent="0.2">
      <c r="A13" s="18" t="s">
        <v>17</v>
      </c>
      <c r="B13" s="19" t="s">
        <v>18</v>
      </c>
      <c r="C13" s="22"/>
      <c r="D13" s="23"/>
      <c r="E13" s="2">
        <v>0</v>
      </c>
      <c r="F13" s="99">
        <f>ROUND(3.4823*($F$3/19.686762),4)</f>
        <v>3.75</v>
      </c>
      <c r="G13" s="9">
        <f>ROUNDDOWN(E13*F13,2)</f>
        <v>0</v>
      </c>
      <c r="H13" s="9"/>
      <c r="I13" s="74">
        <f>0.4276*F2</f>
        <v>3.7500947599999996</v>
      </c>
      <c r="J13" s="8"/>
      <c r="K13" s="10"/>
      <c r="AP13"/>
    </row>
    <row r="14" spans="1:42" x14ac:dyDescent="0.2">
      <c r="A14" s="18" t="s">
        <v>19</v>
      </c>
      <c r="B14" s="19" t="s">
        <v>20</v>
      </c>
      <c r="C14" s="22"/>
      <c r="D14" s="23"/>
      <c r="E14" s="2">
        <v>0</v>
      </c>
      <c r="F14" s="99">
        <f>ROUND(F13*0.5,4)</f>
        <v>1.875</v>
      </c>
      <c r="G14" s="9">
        <f>ROUNDDOWN(E14*F14,2)</f>
        <v>0</v>
      </c>
      <c r="H14" s="9"/>
      <c r="I14" s="74"/>
      <c r="J14" s="8"/>
      <c r="K14" s="10"/>
      <c r="AP14"/>
    </row>
    <row r="15" spans="1:42" x14ac:dyDescent="0.2">
      <c r="A15" s="18" t="s">
        <v>21</v>
      </c>
      <c r="B15" s="19" t="s">
        <v>22</v>
      </c>
      <c r="C15" s="22"/>
      <c r="D15" s="23"/>
      <c r="E15" s="2"/>
      <c r="F15" s="99">
        <f>ROUND(F13*0.25,4)</f>
        <v>0.9375</v>
      </c>
      <c r="G15" s="9">
        <f t="shared" ref="G15:G21" si="0">ROUNDDOWN(E15*F15+D15+(C15*$F$3),2)</f>
        <v>0</v>
      </c>
      <c r="H15" s="9"/>
      <c r="I15" s="74"/>
      <c r="J15" s="8"/>
      <c r="K15" s="10"/>
      <c r="AP15"/>
    </row>
    <row r="16" spans="1:42" x14ac:dyDescent="0.2">
      <c r="A16" s="18" t="s">
        <v>23</v>
      </c>
      <c r="B16" s="19" t="s">
        <v>24</v>
      </c>
      <c r="C16" s="24"/>
      <c r="D16" s="25"/>
      <c r="E16" s="26">
        <v>0</v>
      </c>
      <c r="F16" s="100">
        <f>$F$12*0.2</f>
        <v>0.9375</v>
      </c>
      <c r="G16" s="9">
        <f t="shared" si="0"/>
        <v>0</v>
      </c>
      <c r="H16" s="9"/>
      <c r="I16" s="74"/>
      <c r="J16" s="8"/>
      <c r="K16" s="10"/>
      <c r="AP16"/>
    </row>
    <row r="17" spans="1:42" x14ac:dyDescent="0.2">
      <c r="A17" s="18" t="s">
        <v>25</v>
      </c>
      <c r="B17" s="19" t="s">
        <v>26</v>
      </c>
      <c r="C17" s="24"/>
      <c r="D17" s="25"/>
      <c r="E17" s="26">
        <v>0</v>
      </c>
      <c r="F17" s="100">
        <f>$F$12*0.7</f>
        <v>3.28125</v>
      </c>
      <c r="G17" s="9">
        <f t="shared" si="0"/>
        <v>0</v>
      </c>
      <c r="H17" s="9"/>
      <c r="I17" s="74"/>
      <c r="J17" s="8"/>
      <c r="K17" s="10"/>
      <c r="AP17"/>
    </row>
    <row r="18" spans="1:42" x14ac:dyDescent="0.2">
      <c r="A18" s="18" t="s">
        <v>27</v>
      </c>
      <c r="B18" s="19" t="s">
        <v>28</v>
      </c>
      <c r="C18" s="24"/>
      <c r="D18" s="25"/>
      <c r="E18" s="26"/>
      <c r="F18" s="100">
        <f>$F$12</f>
        <v>4.6875</v>
      </c>
      <c r="G18" s="9">
        <f t="shared" si="0"/>
        <v>0</v>
      </c>
      <c r="H18" s="9"/>
      <c r="I18" s="74"/>
      <c r="J18" s="8"/>
      <c r="K18" s="10"/>
      <c r="AP18"/>
    </row>
    <row r="19" spans="1:42" x14ac:dyDescent="0.2">
      <c r="A19" s="18" t="s">
        <v>29</v>
      </c>
      <c r="B19" s="19" t="s">
        <v>30</v>
      </c>
      <c r="C19" s="22"/>
      <c r="D19" s="23"/>
      <c r="E19" s="2">
        <v>0</v>
      </c>
      <c r="F19" s="99">
        <f>ROUND(F13*0.2,4)</f>
        <v>0.75</v>
      </c>
      <c r="G19" s="9">
        <f t="shared" si="0"/>
        <v>0</v>
      </c>
      <c r="H19" s="9"/>
      <c r="I19" s="74"/>
      <c r="J19" s="8"/>
      <c r="K19" s="10"/>
      <c r="AP19"/>
    </row>
    <row r="20" spans="1:42" x14ac:dyDescent="0.2">
      <c r="A20" s="18" t="s">
        <v>31</v>
      </c>
      <c r="B20" s="19" t="s">
        <v>32</v>
      </c>
      <c r="C20" s="22"/>
      <c r="D20" s="23"/>
      <c r="E20" s="2">
        <v>0</v>
      </c>
      <c r="F20" s="99">
        <f>ROUND(F13*0.7,4)</f>
        <v>2.625</v>
      </c>
      <c r="G20" s="9">
        <f t="shared" si="0"/>
        <v>0</v>
      </c>
      <c r="H20" s="9"/>
      <c r="I20" s="74"/>
      <c r="J20" s="8"/>
      <c r="K20" s="10"/>
      <c r="AP20"/>
    </row>
    <row r="21" spans="1:42" x14ac:dyDescent="0.2">
      <c r="A21" s="18" t="s">
        <v>33</v>
      </c>
      <c r="B21" s="19" t="s">
        <v>34</v>
      </c>
      <c r="C21" s="22"/>
      <c r="D21" s="23"/>
      <c r="E21" s="2"/>
      <c r="F21" s="99">
        <f>ROUND(F13*1,4)</f>
        <v>3.75</v>
      </c>
      <c r="G21" s="9">
        <f t="shared" si="0"/>
        <v>0</v>
      </c>
      <c r="H21" s="9"/>
      <c r="I21" s="74"/>
      <c r="J21" s="8"/>
      <c r="K21" s="10"/>
      <c r="AP21"/>
    </row>
    <row r="22" spans="1:42" x14ac:dyDescent="0.2">
      <c r="A22" s="18" t="s">
        <v>35</v>
      </c>
      <c r="B22" s="19" t="s">
        <v>36</v>
      </c>
      <c r="C22" s="24"/>
      <c r="D22" s="25"/>
      <c r="E22" s="26">
        <v>0</v>
      </c>
      <c r="F22" s="100">
        <f>ROUND($F$14*0.2,4)</f>
        <v>0.375</v>
      </c>
      <c r="G22" s="9">
        <f>ROUND(E22*F22,2)</f>
        <v>0</v>
      </c>
      <c r="H22" s="9"/>
      <c r="I22" s="74"/>
      <c r="J22" s="8"/>
      <c r="K22" s="10"/>
      <c r="AP22"/>
    </row>
    <row r="23" spans="1:42" x14ac:dyDescent="0.2">
      <c r="A23" s="18" t="s">
        <v>38</v>
      </c>
      <c r="B23" s="19" t="s">
        <v>39</v>
      </c>
      <c r="C23" s="24"/>
      <c r="D23" s="25"/>
      <c r="E23" s="26">
        <v>0</v>
      </c>
      <c r="F23" s="100">
        <f>ROUND($F$14*0.7,4)</f>
        <v>1.3125</v>
      </c>
      <c r="G23" s="9">
        <f>ROUNDDOWN(E23*F23+D23+(C23*$F$3),2)</f>
        <v>0</v>
      </c>
      <c r="H23" s="9"/>
      <c r="I23" s="74"/>
      <c r="J23" s="8"/>
      <c r="K23" s="10"/>
      <c r="L23" s="3" t="s">
        <v>37</v>
      </c>
      <c r="M23" s="3"/>
      <c r="N23" s="27">
        <v>0</v>
      </c>
      <c r="AP23"/>
    </row>
    <row r="24" spans="1:42" x14ac:dyDescent="0.2">
      <c r="A24" s="18" t="s">
        <v>41</v>
      </c>
      <c r="B24" s="19" t="s">
        <v>42</v>
      </c>
      <c r="C24" s="24"/>
      <c r="D24" s="25"/>
      <c r="E24" s="26">
        <v>0</v>
      </c>
      <c r="F24" s="100">
        <f>ROUND($F$14,4)</f>
        <v>1.875</v>
      </c>
      <c r="G24" s="9">
        <f>ROUNDDOWN(E24*F24+D24+(C24*$F$3),2)</f>
        <v>0</v>
      </c>
      <c r="H24" s="9"/>
      <c r="I24" s="74"/>
      <c r="J24" s="8"/>
      <c r="K24" s="10"/>
      <c r="L24" s="3" t="s">
        <v>40</v>
      </c>
      <c r="M24" s="3"/>
      <c r="N24" s="27">
        <v>99</v>
      </c>
      <c r="AP24"/>
    </row>
    <row r="25" spans="1:42" x14ac:dyDescent="0.2">
      <c r="A25" s="18" t="s">
        <v>44</v>
      </c>
      <c r="B25" s="19" t="s">
        <v>45</v>
      </c>
      <c r="C25" s="22"/>
      <c r="D25" s="23"/>
      <c r="E25" s="2">
        <v>0</v>
      </c>
      <c r="F25" s="99">
        <f>ROUND((SUM($G$12:$G$24)+($D$8*$F$11)+$G$40)/$D$8*0.7,4)</f>
        <v>20.0457</v>
      </c>
      <c r="G25" s="9">
        <f t="shared" ref="G25:G30" si="1">ROUND(E25*F25+(C25*$F$3),2)</f>
        <v>0</v>
      </c>
      <c r="H25" s="9"/>
      <c r="I25" s="74"/>
      <c r="J25" s="8"/>
      <c r="K25" s="10"/>
      <c r="L25" s="3" t="s">
        <v>43</v>
      </c>
      <c r="M25" s="3"/>
      <c r="N25" s="3">
        <f>(IF(C6&gt;29,(N23+26*N24),(IF((C6-4)&gt;=0,C6-4,0)*N24+N23)))/12</f>
        <v>24.75</v>
      </c>
      <c r="AP25"/>
    </row>
    <row r="26" spans="1:42" x14ac:dyDescent="0.2">
      <c r="A26" s="18" t="s">
        <v>46</v>
      </c>
      <c r="B26" s="19" t="s">
        <v>47</v>
      </c>
      <c r="C26" s="22"/>
      <c r="D26" s="23"/>
      <c r="E26" s="2"/>
      <c r="F26" s="99">
        <f>ROUND((SUM($G$12:$G$24)+($D$8*$F$11)+$G$40)/$D$8,4)</f>
        <v>28.636700000000001</v>
      </c>
      <c r="G26" s="9">
        <f t="shared" si="1"/>
        <v>0</v>
      </c>
      <c r="H26" s="9"/>
      <c r="I26" s="74"/>
      <c r="J26" s="8"/>
      <c r="K26" s="8"/>
      <c r="L26" s="3"/>
      <c r="M26" s="3"/>
      <c r="N26" s="3"/>
      <c r="AP26"/>
    </row>
    <row r="27" spans="1:42" x14ac:dyDescent="0.2">
      <c r="A27" s="18" t="s">
        <v>48</v>
      </c>
      <c r="B27" s="19" t="s">
        <v>49</v>
      </c>
      <c r="C27" s="22"/>
      <c r="D27" s="23"/>
      <c r="E27" s="2">
        <v>0</v>
      </c>
      <c r="F27" s="99">
        <f>ROUND((SUM($G$12:$G$24)+($D$8*$F$11)+$G$40)/$D$8*0.2,4)</f>
        <v>5.7272999999999996</v>
      </c>
      <c r="G27" s="9">
        <f t="shared" si="1"/>
        <v>0</v>
      </c>
      <c r="H27" s="9"/>
      <c r="I27" s="74"/>
      <c r="J27" s="8"/>
      <c r="K27" s="10"/>
      <c r="L27" s="3"/>
      <c r="M27" s="3"/>
      <c r="N27" s="3"/>
      <c r="AP27"/>
    </row>
    <row r="28" spans="1:42" x14ac:dyDescent="0.2">
      <c r="A28" s="18" t="s">
        <v>50</v>
      </c>
      <c r="B28" s="19" t="s">
        <v>51</v>
      </c>
      <c r="C28" s="22"/>
      <c r="D28" s="23"/>
      <c r="E28" s="2"/>
      <c r="F28" s="99">
        <f>ROUND((SUM($G$12:$G$24)+($D$8*$F$11)+$G$40)/$D$8*0.7,4)</f>
        <v>20.0457</v>
      </c>
      <c r="G28" s="9">
        <f t="shared" si="1"/>
        <v>0</v>
      </c>
      <c r="H28" s="9"/>
      <c r="I28" s="74"/>
      <c r="J28" s="8"/>
      <c r="K28" s="8"/>
      <c r="L28" s="3"/>
      <c r="M28" s="3"/>
      <c r="N28" s="3"/>
      <c r="AP28"/>
    </row>
    <row r="29" spans="1:42" x14ac:dyDescent="0.2">
      <c r="A29" s="18" t="s">
        <v>52</v>
      </c>
      <c r="B29" s="19" t="s">
        <v>53</v>
      </c>
      <c r="C29" s="22"/>
      <c r="D29" s="23"/>
      <c r="E29" s="2"/>
      <c r="F29" s="99">
        <f>ROUND((SUM($G$12:$G$24)+($D$8*$F$11)+$G$40)/$D$8,4)</f>
        <v>28.636700000000001</v>
      </c>
      <c r="G29" s="9">
        <f t="shared" si="1"/>
        <v>0</v>
      </c>
      <c r="H29" s="9"/>
      <c r="I29" s="74"/>
      <c r="J29" s="8"/>
      <c r="K29" s="8"/>
      <c r="AP29"/>
    </row>
    <row r="30" spans="1:42" x14ac:dyDescent="0.2">
      <c r="A30" s="19" t="s">
        <v>54</v>
      </c>
      <c r="B30" s="19" t="s">
        <v>55</v>
      </c>
      <c r="C30" s="22"/>
      <c r="D30" s="23"/>
      <c r="E30" s="2">
        <v>0</v>
      </c>
      <c r="F30" s="99">
        <f>ROUND((SUM($G$12:$G$24)+($D$8*$F$11)+$G$40)/$D$8*0.2,4)</f>
        <v>5.7272999999999996</v>
      </c>
      <c r="G30" s="9">
        <f t="shared" si="1"/>
        <v>0</v>
      </c>
      <c r="H30" s="9"/>
      <c r="I30" s="74"/>
      <c r="AP30"/>
    </row>
    <row r="31" spans="1:42" x14ac:dyDescent="0.2">
      <c r="A31" s="19" t="s">
        <v>56</v>
      </c>
      <c r="B31" s="9" t="s">
        <v>57</v>
      </c>
      <c r="C31" s="22"/>
      <c r="D31" s="23"/>
      <c r="E31" s="2">
        <v>0</v>
      </c>
      <c r="F31" s="99">
        <f>$F$11</f>
        <v>28.636700000000001</v>
      </c>
      <c r="G31" s="9">
        <f>ROUND(E31*F31+D31+(C31*$F$3),2)</f>
        <v>0</v>
      </c>
      <c r="H31" s="9"/>
      <c r="I31" s="74"/>
      <c r="AP31"/>
    </row>
    <row r="32" spans="1:42" x14ac:dyDescent="0.2">
      <c r="A32" s="19" t="s">
        <v>58</v>
      </c>
      <c r="B32" s="9" t="s">
        <v>59</v>
      </c>
      <c r="C32" s="22"/>
      <c r="D32" s="23"/>
      <c r="E32" s="2">
        <v>0</v>
      </c>
      <c r="F32" s="99">
        <f>$F$11</f>
        <v>28.636700000000001</v>
      </c>
      <c r="G32" s="9">
        <f>ROUND(E32*F32+D32+(C32*$F$3),2)</f>
        <v>0</v>
      </c>
      <c r="H32" s="9"/>
      <c r="I32" s="74"/>
      <c r="AP32"/>
    </row>
    <row r="33" spans="1:52" x14ac:dyDescent="0.2">
      <c r="A33" s="18" t="s">
        <v>60</v>
      </c>
      <c r="B33" s="19" t="s">
        <v>61</v>
      </c>
      <c r="C33" s="22"/>
      <c r="D33" s="23"/>
      <c r="E33" s="2">
        <v>0</v>
      </c>
      <c r="F33" s="99">
        <f>$F$11</f>
        <v>28.636700000000001</v>
      </c>
      <c r="G33" s="9">
        <f>ROUND(E33*F33,2)</f>
        <v>0</v>
      </c>
      <c r="H33" s="9"/>
      <c r="I33" s="74"/>
      <c r="AP33"/>
    </row>
    <row r="34" spans="1:52" x14ac:dyDescent="0.2">
      <c r="A34" s="19" t="s">
        <v>63</v>
      </c>
      <c r="B34" s="19" t="s">
        <v>64</v>
      </c>
      <c r="C34" s="22"/>
      <c r="D34" s="23"/>
      <c r="E34" s="2"/>
      <c r="F34" s="99">
        <f>$F$11</f>
        <v>28.636700000000001</v>
      </c>
      <c r="G34" s="9">
        <f>ROUND(E34*F34,2)</f>
        <v>0</v>
      </c>
      <c r="H34" s="9"/>
      <c r="I34" s="74"/>
      <c r="AP34"/>
    </row>
    <row r="35" spans="1:52" x14ac:dyDescent="0.2">
      <c r="A35" s="18" t="s">
        <v>65</v>
      </c>
      <c r="B35" s="19" t="s">
        <v>66</v>
      </c>
      <c r="C35" s="29" t="s">
        <v>62</v>
      </c>
      <c r="D35" s="30">
        <v>0</v>
      </c>
      <c r="E35" s="2">
        <v>0</v>
      </c>
      <c r="F35" s="99">
        <f>IF(D35=0,ROUND($C$63+(($H$63/35)*25),4),D35)</f>
        <v>0</v>
      </c>
      <c r="G35" s="9">
        <f>ROUND(E35*F35,2)</f>
        <v>0</v>
      </c>
      <c r="H35" s="9"/>
      <c r="I35" s="74"/>
      <c r="AP35"/>
    </row>
    <row r="36" spans="1:52" x14ac:dyDescent="0.2">
      <c r="A36" s="18" t="s">
        <v>67</v>
      </c>
      <c r="B36" s="19" t="s">
        <v>145</v>
      </c>
      <c r="C36" s="22"/>
      <c r="D36" s="23"/>
      <c r="E36" s="2">
        <v>0</v>
      </c>
      <c r="F36" s="99">
        <f>ROUND((SUM($G$12:$G$24)+($D$8*$F$11)+$G$40)/$D$8*1,4)</f>
        <v>28.636700000000001</v>
      </c>
      <c r="G36" s="9">
        <f>ROUND(E36*F36+D36+(C36*$F$3),2)</f>
        <v>0</v>
      </c>
      <c r="H36" s="9"/>
      <c r="I36" s="74"/>
      <c r="AP36"/>
    </row>
    <row r="37" spans="1:52" x14ac:dyDescent="0.2">
      <c r="A37" s="19" t="s">
        <v>67</v>
      </c>
      <c r="B37" s="19" t="s">
        <v>68</v>
      </c>
      <c r="C37" s="22"/>
      <c r="D37" s="23"/>
      <c r="E37" s="2"/>
      <c r="F37" s="99">
        <f>$F$11</f>
        <v>28.636700000000001</v>
      </c>
      <c r="G37" s="9">
        <f>ROUND(E37*F37+D37+(C37*$F$3),2)</f>
        <v>0</v>
      </c>
      <c r="H37" s="9"/>
      <c r="I37" s="74"/>
      <c r="AP37"/>
    </row>
    <row r="38" spans="1:52" x14ac:dyDescent="0.2">
      <c r="A38" s="19" t="s">
        <v>69</v>
      </c>
      <c r="B38" s="19" t="s">
        <v>68</v>
      </c>
      <c r="C38" s="22"/>
      <c r="D38" s="23"/>
      <c r="E38" s="2"/>
      <c r="F38" s="6"/>
      <c r="G38" s="9">
        <f>ROUND(E38*F38+D38+(C38*$F$3),2)</f>
        <v>0</v>
      </c>
      <c r="H38" s="9"/>
      <c r="I38" s="74"/>
      <c r="AP38"/>
    </row>
    <row r="39" spans="1:52" x14ac:dyDescent="0.2">
      <c r="A39" s="19"/>
      <c r="B39" s="31" t="s">
        <v>70</v>
      </c>
      <c r="C39" s="22"/>
      <c r="D39" s="23"/>
      <c r="E39" s="22"/>
      <c r="F39" s="9"/>
      <c r="G39" s="9">
        <f>ROUND(E39*F39+D39+(C39*$F$3),2)</f>
        <v>0</v>
      </c>
      <c r="H39" s="9"/>
      <c r="I39" s="74"/>
      <c r="AP39"/>
    </row>
    <row r="40" spans="1:52" ht="12" customHeight="1" x14ac:dyDescent="0.2">
      <c r="A40" s="18" t="s">
        <v>71</v>
      </c>
      <c r="B40" s="19" t="s">
        <v>72</v>
      </c>
      <c r="C40" s="22">
        <f>IF(C3*8.1%&lt;25,25,(IF(C3*8.1%&gt;29,29,C3*8.1%)))</f>
        <v>25</v>
      </c>
      <c r="D40" s="23" t="s">
        <v>144</v>
      </c>
      <c r="E40" s="24"/>
      <c r="F40">
        <v>0</v>
      </c>
      <c r="G40" s="9">
        <f>IF(F40=1,ROUND((C40*$F$3*C8/100),2),0)</f>
        <v>0</v>
      </c>
      <c r="H40" s="9"/>
      <c r="I40" s="74"/>
      <c r="AP40"/>
    </row>
    <row r="41" spans="1:52" ht="12" customHeight="1" x14ac:dyDescent="0.2">
      <c r="A41" s="18"/>
      <c r="B41" s="9" t="s">
        <v>73</v>
      </c>
      <c r="C41" s="2"/>
      <c r="D41" s="23"/>
      <c r="E41" s="33"/>
      <c r="F41" s="19"/>
      <c r="G41" s="9">
        <f>ROUNDDOWN(E41*F41+D41+(C41*$F$3),2)</f>
        <v>0</v>
      </c>
      <c r="H41" s="9"/>
      <c r="I41" s="74"/>
      <c r="AP41"/>
    </row>
    <row r="42" spans="1:52" ht="12" customHeight="1" x14ac:dyDescent="0.2">
      <c r="A42" s="18"/>
      <c r="B42" s="9" t="s">
        <v>74</v>
      </c>
      <c r="C42" s="22"/>
      <c r="D42" s="34">
        <v>0</v>
      </c>
      <c r="E42" s="33"/>
      <c r="F42" s="19"/>
      <c r="G42" s="9">
        <f>ROUNDDOWN(E42*F42+D42+(C42*$F$3),2)</f>
        <v>0</v>
      </c>
      <c r="H42" s="9"/>
      <c r="I42" s="74"/>
      <c r="AP42"/>
    </row>
    <row r="43" spans="1:52" ht="12" customHeight="1" x14ac:dyDescent="0.2">
      <c r="A43" s="19" t="s">
        <v>75</v>
      </c>
      <c r="B43" s="31" t="s">
        <v>76</v>
      </c>
      <c r="C43" s="31"/>
      <c r="D43" s="31"/>
      <c r="E43" s="31"/>
      <c r="F43" s="31"/>
      <c r="G43" s="31">
        <f>SUM(G11:G42)</f>
        <v>4706.4399999999996</v>
      </c>
      <c r="H43" s="9"/>
      <c r="I43" s="74"/>
      <c r="AP43"/>
    </row>
    <row r="44" spans="1:52" ht="12" customHeight="1" x14ac:dyDescent="0.2">
      <c r="A44" s="18"/>
      <c r="B44" s="35"/>
      <c r="C44" s="33"/>
      <c r="D44" s="33"/>
      <c r="E44" s="24"/>
      <c r="F44" s="32"/>
      <c r="G44" s="9">
        <f>ROUND(E44*F44+D44+(C44*$F$3),2)</f>
        <v>0</v>
      </c>
      <c r="H44" s="9"/>
      <c r="I44" s="74"/>
      <c r="AP44"/>
    </row>
    <row r="45" spans="1:52" x14ac:dyDescent="0.2">
      <c r="A45" s="18"/>
      <c r="B45" s="35" t="s">
        <v>77</v>
      </c>
      <c r="C45" s="32"/>
      <c r="D45" s="36"/>
      <c r="E45" s="9"/>
      <c r="F45" s="9"/>
      <c r="G45" s="37">
        <f>G46+G47+G48</f>
        <v>520.06999999999994</v>
      </c>
      <c r="H45" s="9"/>
      <c r="I45" s="74"/>
      <c r="AP45"/>
    </row>
    <row r="46" spans="1:52" x14ac:dyDescent="0.2">
      <c r="A46" s="18"/>
      <c r="B46" s="19" t="s">
        <v>79</v>
      </c>
      <c r="C46" s="32"/>
      <c r="D46" s="36">
        <f>G43</f>
        <v>4706.4399999999996</v>
      </c>
      <c r="E46" s="9"/>
      <c r="F46" s="39">
        <v>2.8000000000000001E-2</v>
      </c>
      <c r="G46" s="9">
        <f>ROUND(D46*F46,2)</f>
        <v>131.78</v>
      </c>
      <c r="H46" s="9"/>
      <c r="I46" s="74"/>
      <c r="AO46" s="5"/>
      <c r="AP46" s="28"/>
    </row>
    <row r="47" spans="1:52" x14ac:dyDescent="0.2">
      <c r="A47" s="18" t="s">
        <v>78</v>
      </c>
      <c r="B47" s="19" t="s">
        <v>81</v>
      </c>
      <c r="C47" s="32"/>
      <c r="D47" s="36">
        <f>G43</f>
        <v>4706.4399999999996</v>
      </c>
      <c r="E47" s="9"/>
      <c r="F47" s="39">
        <v>2.5000000000000001E-3</v>
      </c>
      <c r="G47" s="9">
        <f>ROUND(D47*F47,2)</f>
        <v>11.77</v>
      </c>
      <c r="H47" s="9"/>
      <c r="I47" s="74"/>
      <c r="AO47" s="5"/>
      <c r="AP47" s="28"/>
    </row>
    <row r="48" spans="1:52" x14ac:dyDescent="0.2">
      <c r="A48" s="18" t="s">
        <v>80</v>
      </c>
      <c r="B48" s="19" t="s">
        <v>83</v>
      </c>
      <c r="C48" s="32"/>
      <c r="D48" s="36">
        <f>G43</f>
        <v>4706.4399999999996</v>
      </c>
      <c r="E48" s="9"/>
      <c r="F48" s="39">
        <v>0.08</v>
      </c>
      <c r="G48" s="9">
        <f>ROUND(D48*F48,2)</f>
        <v>376.52</v>
      </c>
      <c r="H48" s="9"/>
      <c r="I48" s="74"/>
      <c r="AO48" t="e">
        <f>INDEX(#REF!,#REF!,1,1)</f>
        <v>#REF!</v>
      </c>
      <c r="AR48" s="38"/>
      <c r="AZ48" s="6"/>
    </row>
    <row r="49" spans="1:44" x14ac:dyDescent="0.2">
      <c r="A49" s="18" t="s">
        <v>82</v>
      </c>
      <c r="B49" s="40" t="s">
        <v>85</v>
      </c>
      <c r="C49" s="32"/>
      <c r="D49" s="36"/>
      <c r="E49" s="36">
        <f>ROUNDDOWN(SUM(G11:G42)-D67,2)</f>
        <v>4128.09</v>
      </c>
      <c r="F49" s="41">
        <v>1.4E-2</v>
      </c>
      <c r="G49" s="9">
        <f>ROUND(E49*F49+D49+(C49*$F$3),2)</f>
        <v>57.79</v>
      </c>
      <c r="H49" s="9"/>
      <c r="I49" s="74"/>
      <c r="AR49" s="38"/>
    </row>
    <row r="50" spans="1:44" x14ac:dyDescent="0.2">
      <c r="A50" s="18" t="s">
        <v>84</v>
      </c>
      <c r="B50" s="42" t="s">
        <v>124</v>
      </c>
      <c r="C50" s="32"/>
      <c r="D50" s="23" t="s">
        <v>144</v>
      </c>
      <c r="E50" s="24"/>
      <c r="F50">
        <v>0</v>
      </c>
      <c r="G50" s="9">
        <f>IF(F50=1,460,0)</f>
        <v>0</v>
      </c>
      <c r="H50" s="9"/>
      <c r="I50" s="74"/>
    </row>
    <row r="51" spans="1:44" x14ac:dyDescent="0.2">
      <c r="A51" s="18" t="s">
        <v>123</v>
      </c>
      <c r="B51" s="42" t="s">
        <v>87</v>
      </c>
      <c r="C51" s="32"/>
      <c r="D51" s="36"/>
      <c r="E51" s="36"/>
      <c r="F51" s="41"/>
      <c r="G51" s="9">
        <f>F6</f>
        <v>24.75</v>
      </c>
      <c r="H51" s="9"/>
      <c r="I51" s="74"/>
    </row>
    <row r="52" spans="1:44" x14ac:dyDescent="0.2">
      <c r="A52" s="19" t="s">
        <v>86</v>
      </c>
      <c r="B52" s="19" t="s">
        <v>89</v>
      </c>
      <c r="C52" s="32"/>
      <c r="D52" s="43">
        <f>G43-SUM(G46:G48)-G51-SUM(G25:G27)</f>
        <v>4161.62</v>
      </c>
      <c r="E52" s="9"/>
      <c r="F52" s="9"/>
      <c r="G52" s="44">
        <f>G43-SUM(G46:G48)-G51-SUM(G25:G27)-G50</f>
        <v>4161.62</v>
      </c>
      <c r="H52" s="9"/>
      <c r="I52" s="74"/>
    </row>
    <row r="53" spans="1:44" x14ac:dyDescent="0.2">
      <c r="A53" s="19" t="s">
        <v>88</v>
      </c>
      <c r="B53" s="19" t="s">
        <v>91</v>
      </c>
      <c r="C53" s="9"/>
      <c r="D53" s="9"/>
      <c r="E53" s="9"/>
      <c r="F53" s="9"/>
      <c r="G53" s="44">
        <f>'Steuermodul 2017'!B14</f>
        <v>773.7</v>
      </c>
      <c r="H53" s="9"/>
      <c r="I53" s="74"/>
    </row>
    <row r="54" spans="1:44" x14ac:dyDescent="0.2">
      <c r="A54" s="18" t="s">
        <v>90</v>
      </c>
      <c r="B54" s="35" t="s">
        <v>93</v>
      </c>
      <c r="C54" s="46"/>
      <c r="D54" s="46"/>
      <c r="E54" s="46"/>
      <c r="F54" s="47"/>
      <c r="G54" s="48">
        <f>G43-G45-G49-G53</f>
        <v>3354.88</v>
      </c>
      <c r="H54" s="9"/>
      <c r="I54" s="74"/>
      <c r="AL54" s="1"/>
      <c r="AP54"/>
    </row>
    <row r="55" spans="1:44" x14ac:dyDescent="0.2">
      <c r="A55" s="19" t="s">
        <v>92</v>
      </c>
      <c r="B55" s="19" t="s">
        <v>95</v>
      </c>
      <c r="C55" s="49"/>
      <c r="D55" s="49"/>
      <c r="E55" s="49"/>
      <c r="F55" s="49"/>
      <c r="G55" s="45">
        <v>0</v>
      </c>
      <c r="H55" s="9"/>
      <c r="I55" s="74"/>
      <c r="AL55" s="1"/>
      <c r="AP55"/>
    </row>
    <row r="56" spans="1:44" x14ac:dyDescent="0.2">
      <c r="A56" s="18" t="s">
        <v>94</v>
      </c>
      <c r="B56" s="19" t="s">
        <v>97</v>
      </c>
      <c r="C56" s="49"/>
      <c r="D56" s="49"/>
      <c r="E56" s="49"/>
      <c r="F56" s="49"/>
      <c r="G56" s="44">
        <f>'Credit d impot salaries 2017'!C7</f>
        <v>19.400000000000002</v>
      </c>
      <c r="H56" s="9"/>
      <c r="I56" s="74"/>
      <c r="AL56" s="1"/>
      <c r="AP56"/>
    </row>
    <row r="57" spans="1:44" x14ac:dyDescent="0.2">
      <c r="A57" s="18" t="s">
        <v>96</v>
      </c>
      <c r="B57" s="19" t="s">
        <v>99</v>
      </c>
      <c r="C57" s="33"/>
      <c r="D57" s="23" t="s">
        <v>144</v>
      </c>
      <c r="E57" s="24"/>
      <c r="F57">
        <v>0</v>
      </c>
      <c r="G57" s="9">
        <f>IF(F57=1,31,0)</f>
        <v>0</v>
      </c>
      <c r="H57" s="9"/>
      <c r="I57" s="74"/>
      <c r="AL57" s="1"/>
      <c r="AP57"/>
    </row>
    <row r="58" spans="1:44" x14ac:dyDescent="0.2">
      <c r="A58" s="18" t="s">
        <v>98</v>
      </c>
      <c r="B58" s="9" t="s">
        <v>100</v>
      </c>
      <c r="C58" s="9"/>
      <c r="D58" s="9"/>
      <c r="E58" s="32"/>
      <c r="F58" s="32"/>
      <c r="G58" s="44">
        <f>G54-G55+G56-G57</f>
        <v>3374.28</v>
      </c>
      <c r="H58" s="9"/>
      <c r="I58" s="74"/>
      <c r="AL58" s="1"/>
      <c r="AP58"/>
    </row>
    <row r="59" spans="1:44" x14ac:dyDescent="0.2">
      <c r="A59" s="18"/>
      <c r="B59" s="107" t="s">
        <v>129</v>
      </c>
      <c r="C59" s="107"/>
      <c r="D59" s="107"/>
      <c r="E59" s="107"/>
      <c r="F59" s="3"/>
      <c r="G59" s="93"/>
      <c r="H59" s="94"/>
      <c r="I59" s="74"/>
    </row>
    <row r="60" spans="1:44" ht="12.75" customHeight="1" x14ac:dyDescent="0.2">
      <c r="A60" s="18"/>
      <c r="B60" s="3" t="s">
        <v>101</v>
      </c>
      <c r="C60" s="95" t="s">
        <v>130</v>
      </c>
      <c r="D60" s="95" t="s">
        <v>131</v>
      </c>
      <c r="E60" s="95" t="s">
        <v>132</v>
      </c>
      <c r="F60" s="95" t="s">
        <v>133</v>
      </c>
      <c r="G60" s="95" t="s">
        <v>134</v>
      </c>
      <c r="H60" s="95" t="s">
        <v>135</v>
      </c>
      <c r="I60" s="74"/>
    </row>
    <row r="61" spans="1:44" ht="12.75" customHeight="1" x14ac:dyDescent="0.2">
      <c r="A61" s="18"/>
      <c r="B61" s="3" t="s">
        <v>102</v>
      </c>
      <c r="C61" s="97">
        <v>0</v>
      </c>
      <c r="D61" s="97">
        <v>0</v>
      </c>
      <c r="E61" s="98">
        <v>0</v>
      </c>
      <c r="F61" s="95">
        <f>ROUND((SUM(C61:E61))/($D$8*($C$8/100)*$F$2),4)</f>
        <v>0</v>
      </c>
      <c r="G61" s="95"/>
      <c r="H61" s="95"/>
      <c r="I61" s="74"/>
    </row>
    <row r="62" spans="1:44" x14ac:dyDescent="0.2">
      <c r="A62" s="18"/>
      <c r="B62" s="3" t="s">
        <v>103</v>
      </c>
      <c r="C62" s="98">
        <v>0</v>
      </c>
      <c r="D62" s="98">
        <v>0</v>
      </c>
      <c r="E62" s="98">
        <v>0</v>
      </c>
      <c r="F62" s="95">
        <f>ROUND((SUM(C62:E62))/($D$8*($C$8/100)*$F$2),4)</f>
        <v>0</v>
      </c>
      <c r="G62" s="95">
        <f>F61</f>
        <v>0</v>
      </c>
      <c r="H62" s="95">
        <f>ROUND(G62*F2,4)</f>
        <v>0</v>
      </c>
      <c r="I62" s="74"/>
    </row>
    <row r="63" spans="1:44" x14ac:dyDescent="0.2">
      <c r="A63" s="18"/>
      <c r="B63" s="50" t="s">
        <v>104</v>
      </c>
      <c r="C63" s="98">
        <v>0</v>
      </c>
      <c r="D63" s="98">
        <v>0</v>
      </c>
      <c r="E63" s="98">
        <v>0</v>
      </c>
      <c r="F63" s="95">
        <f>ROUND((SUM(C63:E63))/($D$8*($C$8/100)*$F$2),4)</f>
        <v>0</v>
      </c>
      <c r="G63" s="95">
        <f>ROUND(SUM(F61:F62)/2,4)</f>
        <v>0</v>
      </c>
      <c r="H63" s="95">
        <f>ROUND(G63*F2,4)</f>
        <v>0</v>
      </c>
      <c r="I63" s="74"/>
    </row>
    <row r="64" spans="1:44" x14ac:dyDescent="0.2">
      <c r="A64" s="18"/>
      <c r="B64" s="95" t="s">
        <v>136</v>
      </c>
      <c r="C64" s="95">
        <f>F11</f>
        <v>28.636700000000001</v>
      </c>
      <c r="D64" s="95"/>
      <c r="E64" s="95"/>
      <c r="F64" s="95"/>
      <c r="G64" s="95">
        <f>ROUND(SUM(F61:F63)/3,4)</f>
        <v>0</v>
      </c>
      <c r="H64" s="95">
        <f>ROUND(G64*F2,4)</f>
        <v>0</v>
      </c>
      <c r="I64" s="74"/>
    </row>
    <row r="65" spans="1:9" x14ac:dyDescent="0.2">
      <c r="A65" s="18"/>
      <c r="B65" s="3" t="s">
        <v>105</v>
      </c>
      <c r="C65" s="96">
        <f>ROUND($C$64+(($H$64/35)*25),4)</f>
        <v>28.636700000000001</v>
      </c>
      <c r="D65" s="95"/>
      <c r="E65" s="95"/>
      <c r="F65" s="91"/>
      <c r="G65" s="3"/>
      <c r="H65" s="3"/>
      <c r="I65" s="74"/>
    </row>
    <row r="66" spans="1:9" ht="13.5" customHeight="1" x14ac:dyDescent="0.2">
      <c r="A66" s="18"/>
      <c r="B66" s="9" t="s">
        <v>106</v>
      </c>
      <c r="C66" s="51">
        <v>263.77999999999997</v>
      </c>
      <c r="D66" s="9" t="s">
        <v>146</v>
      </c>
      <c r="E66" s="9"/>
      <c r="F66" s="9"/>
      <c r="G66" s="9"/>
      <c r="H66" s="9"/>
      <c r="I66" s="74"/>
    </row>
    <row r="67" spans="1:9" ht="14.25" customHeight="1" x14ac:dyDescent="0.2">
      <c r="A67" s="18"/>
      <c r="B67" s="9" t="s">
        <v>107</v>
      </c>
      <c r="C67" s="51">
        <f>C66*F2</f>
        <v>2313.3769779999998</v>
      </c>
      <c r="D67" s="9">
        <f>IF(D8&gt;=160,C67/4,0)</f>
        <v>578.34424449999995</v>
      </c>
      <c r="E67" s="9"/>
      <c r="F67" s="9"/>
      <c r="G67" s="9"/>
      <c r="H67" s="9"/>
      <c r="I67" s="74"/>
    </row>
    <row r="68" spans="1:9" ht="14.25" customHeight="1" x14ac:dyDescent="0.2">
      <c r="A68" s="18"/>
      <c r="B68" s="86"/>
      <c r="C68" s="87"/>
      <c r="D68" s="87"/>
      <c r="E68" s="87"/>
      <c r="F68" s="87"/>
      <c r="G68" s="87"/>
      <c r="H68" s="87"/>
      <c r="I68" s="74"/>
    </row>
    <row r="69" spans="1:9" ht="276" customHeight="1" x14ac:dyDescent="0.2">
      <c r="A69" s="85"/>
      <c r="B69" s="4"/>
      <c r="C69" s="4"/>
      <c r="D69" s="4"/>
      <c r="E69" s="4"/>
      <c r="F69" s="4"/>
      <c r="G69" s="4"/>
      <c r="H69" s="4"/>
      <c r="I69" s="74"/>
    </row>
    <row r="70" spans="1:9" ht="32.25" customHeight="1" x14ac:dyDescent="0.2">
      <c r="A70" s="52"/>
      <c r="I70" s="74"/>
    </row>
    <row r="71" spans="1:9" ht="45.75" customHeight="1" x14ac:dyDescent="0.2">
      <c r="I71" s="74"/>
    </row>
    <row r="72" spans="1:9" x14ac:dyDescent="0.2">
      <c r="B72" s="1"/>
    </row>
    <row r="74" spans="1:9" x14ac:dyDescent="0.2">
      <c r="A74" s="88"/>
    </row>
    <row r="75" spans="1:9" x14ac:dyDescent="0.2">
      <c r="A75" s="88"/>
    </row>
    <row r="76" spans="1:9" x14ac:dyDescent="0.2">
      <c r="A76" s="88"/>
    </row>
    <row r="77" spans="1:9" x14ac:dyDescent="0.2">
      <c r="A77" s="88"/>
    </row>
    <row r="78" spans="1:9" x14ac:dyDescent="0.2">
      <c r="A78" s="88"/>
    </row>
    <row r="79" spans="1:9" x14ac:dyDescent="0.2">
      <c r="A79" s="88"/>
    </row>
    <row r="80" spans="1:9" x14ac:dyDescent="0.2">
      <c r="A80" s="88"/>
    </row>
    <row r="81" spans="1:1" x14ac:dyDescent="0.2">
      <c r="A81" s="88"/>
    </row>
    <row r="82" spans="1:1" x14ac:dyDescent="0.2">
      <c r="A82" s="88"/>
    </row>
    <row r="83" spans="1:1" x14ac:dyDescent="0.2">
      <c r="A83" s="88"/>
    </row>
    <row r="84" spans="1:1" x14ac:dyDescent="0.2">
      <c r="A84" s="88"/>
    </row>
    <row r="85" spans="1:1" x14ac:dyDescent="0.2">
      <c r="A85" s="88"/>
    </row>
    <row r="86" spans="1:1" x14ac:dyDescent="0.2">
      <c r="A86" s="88"/>
    </row>
    <row r="87" spans="1:1" x14ac:dyDescent="0.2">
      <c r="A87" s="88"/>
    </row>
    <row r="88" spans="1:1" x14ac:dyDescent="0.2">
      <c r="A88" s="88"/>
    </row>
    <row r="89" spans="1:1" x14ac:dyDescent="0.2">
      <c r="A89" s="88"/>
    </row>
  </sheetData>
  <sheetProtection selectLockedCells="1" selectUnlockedCells="1"/>
  <mergeCells count="5">
    <mergeCell ref="B1:F1"/>
    <mergeCell ref="A2:A7"/>
    <mergeCell ref="E8:F8"/>
    <mergeCell ref="B59:E59"/>
    <mergeCell ref="D9:F9"/>
  </mergeCells>
  <hyperlinks>
    <hyperlink ref="D9" r:id="rId1" xr:uid="{00000000-0004-0000-0000-000000000000}"/>
  </hyperlinks>
  <pageMargins left="3.937007874015748E-2" right="3.937007874015748E-2" top="0" bottom="0.19685039370078741" header="0.51181102362204722" footer="0.19685039370078741"/>
  <pageSetup paperSize="9" firstPageNumber="0" orientation="portrait" horizontalDpi="300" verticalDpi="300" r:id="rId2"/>
  <headerFooter alignWithMargins="0">
    <oddFooter>&amp;LSans Garantie!&amp;RCopyrights: Fränk Siebenaller</oddFooter>
  </headerFooter>
  <ignoredErrors>
    <ignoredError sqref="C40" unlockedFormula="1"/>
    <ignoredError sqref="F35" formula="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46"/>
  <sheetViews>
    <sheetView workbookViewId="0">
      <selection activeCell="B15" sqref="B15"/>
    </sheetView>
  </sheetViews>
  <sheetFormatPr baseColWidth="10" defaultColWidth="9.140625" defaultRowHeight="12.75" x14ac:dyDescent="0.2"/>
  <cols>
    <col min="1" max="1" width="2.85546875" customWidth="1"/>
    <col min="2" max="2" width="11.85546875" customWidth="1"/>
    <col min="3" max="3" width="18.5703125" customWidth="1"/>
    <col min="4" max="4" width="10.42578125" bestFit="1" customWidth="1"/>
    <col min="5" max="5" width="4.42578125" customWidth="1"/>
    <col min="6" max="6" width="9.42578125" bestFit="1" customWidth="1"/>
    <col min="7" max="7" width="12.5703125" customWidth="1"/>
    <col min="8" max="8" width="5" style="55" customWidth="1"/>
    <col min="9" max="9" width="4.5703125" style="56" customWidth="1"/>
    <col min="10" max="10" width="10" style="57" bestFit="1" customWidth="1"/>
    <col min="11" max="11" width="3.42578125" customWidth="1"/>
    <col min="12" max="12" width="9.42578125" bestFit="1" customWidth="1"/>
    <col min="13" max="13" width="12" bestFit="1" customWidth="1"/>
    <col min="14" max="14" width="6.42578125" style="58" customWidth="1"/>
    <col min="15" max="15" width="5.5703125" customWidth="1"/>
    <col min="16" max="16" width="10" style="57" bestFit="1" customWidth="1"/>
    <col min="17" max="17" width="4.28515625" customWidth="1"/>
    <col min="18" max="18" width="9.42578125" bestFit="1" customWidth="1"/>
    <col min="19" max="19" width="12.42578125" customWidth="1"/>
    <col min="20" max="20" width="5" style="55" customWidth="1"/>
    <col min="21" max="21" width="6" customWidth="1"/>
    <col min="22" max="22" width="10" style="57" bestFit="1" customWidth="1"/>
  </cols>
  <sheetData>
    <row r="2" spans="1:22" ht="15" x14ac:dyDescent="0.25">
      <c r="B2" s="53"/>
      <c r="F2" s="54" t="s">
        <v>108</v>
      </c>
      <c r="L2" s="54" t="s">
        <v>109</v>
      </c>
      <c r="R2" s="54" t="s">
        <v>110</v>
      </c>
    </row>
    <row r="3" spans="1:22" ht="15" x14ac:dyDescent="0.25">
      <c r="B3" t="s">
        <v>111</v>
      </c>
      <c r="C3" s="59">
        <f>'Bulletin de salaire'!G52</f>
        <v>4161.62</v>
      </c>
      <c r="F3" s="110" t="s">
        <v>112</v>
      </c>
      <c r="G3" s="110"/>
      <c r="H3" s="109" t="s">
        <v>113</v>
      </c>
      <c r="I3" s="109"/>
      <c r="J3" s="109"/>
      <c r="L3" s="110" t="s">
        <v>112</v>
      </c>
      <c r="M3" s="110"/>
      <c r="N3" s="109" t="s">
        <v>113</v>
      </c>
      <c r="O3" s="109"/>
      <c r="P3" s="109"/>
      <c r="R3" s="110" t="s">
        <v>112</v>
      </c>
      <c r="S3" s="110"/>
      <c r="T3" s="109" t="s">
        <v>113</v>
      </c>
      <c r="U3" s="109"/>
      <c r="V3" s="109"/>
    </row>
    <row r="4" spans="1:22" x14ac:dyDescent="0.2">
      <c r="C4">
        <f>(ROUNDDOWN(C3*0.2,0))/0.2</f>
        <v>4160</v>
      </c>
      <c r="E4" s="60">
        <v>1</v>
      </c>
      <c r="F4">
        <v>0</v>
      </c>
      <c r="G4" s="61">
        <v>1020</v>
      </c>
      <c r="H4" s="55">
        <v>0</v>
      </c>
      <c r="I4" s="56" t="s">
        <v>114</v>
      </c>
      <c r="J4" s="57">
        <v>0</v>
      </c>
      <c r="L4">
        <v>0</v>
      </c>
      <c r="M4" s="61">
        <v>1960</v>
      </c>
      <c r="N4" s="58">
        <v>0</v>
      </c>
      <c r="O4" s="56" t="s">
        <v>114</v>
      </c>
      <c r="P4" s="57">
        <v>0</v>
      </c>
      <c r="R4">
        <v>0</v>
      </c>
      <c r="S4" s="61">
        <v>1960</v>
      </c>
      <c r="T4" s="55">
        <v>0</v>
      </c>
      <c r="U4" s="56" t="s">
        <v>114</v>
      </c>
      <c r="V4" s="57">
        <v>0</v>
      </c>
    </row>
    <row r="5" spans="1:22" ht="15" x14ac:dyDescent="0.25">
      <c r="A5" s="62"/>
      <c r="B5">
        <v>3</v>
      </c>
      <c r="C5" s="63" t="s">
        <v>115</v>
      </c>
      <c r="E5" s="60">
        <v>2</v>
      </c>
      <c r="F5" s="61">
        <v>1025</v>
      </c>
      <c r="G5" s="61">
        <v>1175</v>
      </c>
      <c r="H5" s="55">
        <v>0.08</v>
      </c>
      <c r="I5" s="56" t="s">
        <v>114</v>
      </c>
      <c r="J5" s="57">
        <v>81.900000000000006</v>
      </c>
      <c r="L5" s="61">
        <v>1965</v>
      </c>
      <c r="M5" s="61">
        <v>2065</v>
      </c>
      <c r="N5" s="58">
        <v>0.12</v>
      </c>
      <c r="O5" s="56" t="s">
        <v>114</v>
      </c>
      <c r="P5" s="57">
        <v>235.5</v>
      </c>
      <c r="R5" s="61">
        <v>1965</v>
      </c>
      <c r="S5" s="61">
        <v>2270</v>
      </c>
      <c r="T5" s="55">
        <v>0.08</v>
      </c>
      <c r="U5" s="56" t="s">
        <v>114</v>
      </c>
      <c r="V5" s="57">
        <v>157</v>
      </c>
    </row>
    <row r="6" spans="1:22" ht="15" x14ac:dyDescent="0.25">
      <c r="A6" s="64">
        <v>1</v>
      </c>
      <c r="B6" s="65">
        <v>1</v>
      </c>
      <c r="C6" s="66">
        <f>ROUNDDOWN((IF(C4&lt;=12585,(ROUNDDOWN(((VLOOKUP($C$4,F4:J26,3)*C4-VLOOKUP($C$4,F4:J26,5))),1))*1.07,((VLOOKUP($C$4,F4:J26,3)*C4-VLOOKUP($C$4,F4:J26,5)))*1.09-81.01)),1)</f>
        <v>773.7</v>
      </c>
      <c r="E6" s="60">
        <v>3</v>
      </c>
      <c r="F6" s="61">
        <v>1180</v>
      </c>
      <c r="G6" s="61">
        <v>1335</v>
      </c>
      <c r="H6" s="55">
        <v>0.09</v>
      </c>
      <c r="I6" s="56" t="s">
        <v>114</v>
      </c>
      <c r="J6" s="57">
        <v>93.697500000000005</v>
      </c>
      <c r="L6" s="61">
        <v>2070</v>
      </c>
      <c r="M6" s="61">
        <v>2170</v>
      </c>
      <c r="N6" s="58">
        <v>0.13500000000000001</v>
      </c>
      <c r="O6" s="56" t="s">
        <v>114</v>
      </c>
      <c r="P6" s="57">
        <v>266.4975</v>
      </c>
      <c r="R6" s="61">
        <v>2275</v>
      </c>
      <c r="S6" s="61">
        <v>2585</v>
      </c>
      <c r="T6" s="55">
        <v>0.09</v>
      </c>
      <c r="U6" s="56" t="s">
        <v>114</v>
      </c>
      <c r="V6" s="57">
        <v>179.745</v>
      </c>
    </row>
    <row r="7" spans="1:22" ht="15" x14ac:dyDescent="0.25">
      <c r="A7" s="64">
        <v>2</v>
      </c>
      <c r="B7" s="67" t="s">
        <v>7</v>
      </c>
      <c r="C7" s="59">
        <f>ROUNDDOWN((IF(C4&lt;=25085,(ROUNDDOWN(((VLOOKUP($C$4,L4:P19,3)*C4-VLOOKUP($C$4,L4:P19,5))),1))*1.07,((VLOOKUP($C$4,L4:P26,3)*C4-VLOOKUP($C$4,L4:P26,5)))*1.09-79.832)),1)</f>
        <v>710.5</v>
      </c>
      <c r="E7" s="60">
        <v>4</v>
      </c>
      <c r="F7" s="61">
        <v>1340</v>
      </c>
      <c r="G7" s="61">
        <v>1490</v>
      </c>
      <c r="H7" s="55">
        <v>0.1</v>
      </c>
      <c r="I7" s="56" t="s">
        <v>114</v>
      </c>
      <c r="J7" s="57">
        <v>107.05500000000001</v>
      </c>
      <c r="L7" s="61">
        <v>2175</v>
      </c>
      <c r="M7" s="61">
        <v>2270</v>
      </c>
      <c r="N7" s="58">
        <v>0.15</v>
      </c>
      <c r="O7" s="56" t="s">
        <v>114</v>
      </c>
      <c r="P7" s="57">
        <v>299.05500000000001</v>
      </c>
      <c r="R7" s="61">
        <v>2590</v>
      </c>
      <c r="S7" s="61">
        <v>2895</v>
      </c>
      <c r="T7" s="55">
        <v>0.1</v>
      </c>
      <c r="U7" s="56" t="s">
        <v>114</v>
      </c>
      <c r="V7" s="57">
        <v>205.61</v>
      </c>
    </row>
    <row r="8" spans="1:22" ht="15" x14ac:dyDescent="0.25">
      <c r="A8" s="64">
        <v>3</v>
      </c>
      <c r="B8" s="67">
        <v>2</v>
      </c>
      <c r="C8" s="59">
        <f>ROUNDDOWN((IF(C4&lt;=25085,(ROUNDDOWN(((VLOOKUP($C$4,R4:V26,3)*C4-VLOOKUP($C$4,R4:V26,5))),1))*1.07,((VLOOKUP($C$4,R4:V26,3)*C4-VLOOKUP($C$4,R4:V26,5)))*1.09-162.022)),1)</f>
        <v>269.10000000000002</v>
      </c>
      <c r="E8" s="60">
        <v>5</v>
      </c>
      <c r="F8" s="61">
        <v>1495</v>
      </c>
      <c r="G8" s="61">
        <v>1645</v>
      </c>
      <c r="H8" s="55">
        <v>0.11</v>
      </c>
      <c r="I8" s="56" t="s">
        <v>114</v>
      </c>
      <c r="J8" s="57">
        <v>121.9725</v>
      </c>
      <c r="L8" s="61">
        <v>2275</v>
      </c>
      <c r="M8" s="61">
        <v>2375</v>
      </c>
      <c r="N8" s="58">
        <v>0.16500000000000001</v>
      </c>
      <c r="O8" s="56" t="s">
        <v>114</v>
      </c>
      <c r="P8" s="57">
        <v>333.17250000000001</v>
      </c>
      <c r="R8" s="61">
        <v>2900</v>
      </c>
      <c r="S8" s="61">
        <v>3210</v>
      </c>
      <c r="T8" s="55">
        <v>0.11</v>
      </c>
      <c r="U8" s="56" t="s">
        <v>114</v>
      </c>
      <c r="V8" s="57">
        <v>234.595</v>
      </c>
    </row>
    <row r="9" spans="1:22" ht="15" x14ac:dyDescent="0.25">
      <c r="A9" s="64">
        <v>4</v>
      </c>
      <c r="B9" s="68">
        <v>0.33</v>
      </c>
      <c r="C9" s="59">
        <f>IF(ROUNDDOWN(($C$4*0.33),1)&lt;1,0,ROUNDDOWN(($C$4*0.33),1))</f>
        <v>1372.8</v>
      </c>
      <c r="E9" s="60">
        <v>6</v>
      </c>
      <c r="F9" s="61">
        <v>1650</v>
      </c>
      <c r="G9" s="61">
        <v>1800</v>
      </c>
      <c r="H9" s="55">
        <v>0.12</v>
      </c>
      <c r="I9" s="56" t="s">
        <v>114</v>
      </c>
      <c r="J9" s="57">
        <v>138.44999999999999</v>
      </c>
      <c r="L9" s="61">
        <v>2380</v>
      </c>
      <c r="M9" s="61">
        <v>2480</v>
      </c>
      <c r="N9" s="58">
        <v>0.18</v>
      </c>
      <c r="O9" s="56" t="s">
        <v>114</v>
      </c>
      <c r="P9" s="57">
        <v>368.85</v>
      </c>
      <c r="R9" s="61">
        <v>3215</v>
      </c>
      <c r="S9" s="61">
        <v>3520</v>
      </c>
      <c r="T9" s="55">
        <v>0.12</v>
      </c>
      <c r="U9" s="56" t="s">
        <v>114</v>
      </c>
      <c r="V9" s="57">
        <v>266.7</v>
      </c>
    </row>
    <row r="10" spans="1:22" ht="15" x14ac:dyDescent="0.25">
      <c r="A10" s="64">
        <v>5</v>
      </c>
      <c r="B10" s="68">
        <v>0.21</v>
      </c>
      <c r="C10" s="59">
        <f>IF(ROUNDDOWN(($C$4*0.21),1)&lt;1,0,ROUNDDOWN(($C$4*0.21),1))</f>
        <v>873.6</v>
      </c>
      <c r="E10" s="60">
        <v>7</v>
      </c>
      <c r="F10" s="61">
        <v>1805</v>
      </c>
      <c r="G10" s="61">
        <v>1965</v>
      </c>
      <c r="H10" s="55">
        <v>0.14000000000000001</v>
      </c>
      <c r="I10" s="56" t="s">
        <v>114</v>
      </c>
      <c r="J10" s="57">
        <v>174.52500000000001</v>
      </c>
      <c r="L10" s="61">
        <v>2485</v>
      </c>
      <c r="M10" s="61">
        <v>2590</v>
      </c>
      <c r="N10" s="58">
        <v>0.21</v>
      </c>
      <c r="O10" s="56" t="s">
        <v>114</v>
      </c>
      <c r="P10" s="57">
        <v>443.32499999999999</v>
      </c>
      <c r="R10" s="61">
        <v>3525</v>
      </c>
      <c r="S10" s="61">
        <v>3845</v>
      </c>
      <c r="T10" s="55">
        <v>0.14000000000000001</v>
      </c>
      <c r="U10" s="56" t="s">
        <v>114</v>
      </c>
      <c r="V10" s="57">
        <v>337.15</v>
      </c>
    </row>
    <row r="11" spans="1:22" ht="15" x14ac:dyDescent="0.25">
      <c r="A11" s="64">
        <v>6</v>
      </c>
      <c r="B11" s="68">
        <v>0.15</v>
      </c>
      <c r="C11" s="59">
        <f>IF(ROUNDDOWN(($C$4*0.15),1)&lt;1,0,ROUNDDOWN(($C$4*0.15),1))</f>
        <v>624</v>
      </c>
      <c r="E11" s="60">
        <v>8</v>
      </c>
      <c r="F11" s="61">
        <v>1970</v>
      </c>
      <c r="G11" s="61">
        <v>2125</v>
      </c>
      <c r="H11" s="55">
        <v>0.16</v>
      </c>
      <c r="I11" s="56" t="s">
        <v>114</v>
      </c>
      <c r="J11" s="57">
        <v>213.84</v>
      </c>
      <c r="L11" s="61">
        <v>2595</v>
      </c>
      <c r="M11" s="61">
        <v>2695</v>
      </c>
      <c r="N11" s="58">
        <v>0.24</v>
      </c>
      <c r="O11" s="56" t="s">
        <v>114</v>
      </c>
      <c r="P11" s="57">
        <v>521.04</v>
      </c>
      <c r="R11" s="61">
        <v>3850</v>
      </c>
      <c r="S11" s="61">
        <v>4170</v>
      </c>
      <c r="T11" s="55">
        <v>0.16</v>
      </c>
      <c r="U11" s="56" t="s">
        <v>114</v>
      </c>
      <c r="V11" s="57">
        <v>414.08</v>
      </c>
    </row>
    <row r="12" spans="1:22" ht="15" x14ac:dyDescent="0.25">
      <c r="A12" s="64">
        <v>7</v>
      </c>
      <c r="B12" s="69">
        <v>0</v>
      </c>
      <c r="C12" s="59">
        <v>0</v>
      </c>
      <c r="E12" s="60">
        <v>9</v>
      </c>
      <c r="F12" s="61">
        <v>2130</v>
      </c>
      <c r="G12" s="61">
        <v>2285</v>
      </c>
      <c r="H12" s="55">
        <v>0.18</v>
      </c>
      <c r="I12" s="56" t="s">
        <v>114</v>
      </c>
      <c r="J12" s="57">
        <v>256.39499999999998</v>
      </c>
      <c r="L12" s="61">
        <v>2700</v>
      </c>
      <c r="M12" s="61">
        <v>2805</v>
      </c>
      <c r="N12" s="58">
        <v>0.27</v>
      </c>
      <c r="O12" s="56" t="s">
        <v>114</v>
      </c>
      <c r="P12" s="57">
        <v>601.995</v>
      </c>
      <c r="R12" s="61">
        <v>4175</v>
      </c>
      <c r="S12" s="61">
        <v>4490</v>
      </c>
      <c r="T12" s="55">
        <v>0.18</v>
      </c>
      <c r="U12" s="56" t="s">
        <v>114</v>
      </c>
      <c r="V12" s="57">
        <v>497.49</v>
      </c>
    </row>
    <row r="13" spans="1:22" x14ac:dyDescent="0.2">
      <c r="B13" s="53">
        <f>'Bulletin de salaire'!F5</f>
        <v>0</v>
      </c>
      <c r="C13" s="59">
        <f>IF(ROUNDDOWN(($C$4*B13/100),1)&lt;1,0,ROUNDDOWN(($C$4*B13/100),1))</f>
        <v>0</v>
      </c>
      <c r="E13" s="60">
        <v>10</v>
      </c>
      <c r="F13" s="61">
        <v>2290</v>
      </c>
      <c r="G13" s="61">
        <v>2450</v>
      </c>
      <c r="H13" s="55">
        <v>0.2</v>
      </c>
      <c r="I13" s="56" t="s">
        <v>114</v>
      </c>
      <c r="J13" s="57">
        <v>302.19</v>
      </c>
      <c r="L13" s="61">
        <v>2810</v>
      </c>
      <c r="M13" s="61">
        <v>2910</v>
      </c>
      <c r="N13" s="58">
        <v>0.3</v>
      </c>
      <c r="O13" s="56" t="s">
        <v>114</v>
      </c>
      <c r="P13" s="57">
        <v>686.19</v>
      </c>
      <c r="R13" s="61">
        <v>4495</v>
      </c>
      <c r="S13" s="61">
        <v>4815</v>
      </c>
      <c r="T13" s="55">
        <v>0.2</v>
      </c>
      <c r="U13" s="56" t="s">
        <v>114</v>
      </c>
      <c r="V13" s="57">
        <v>587.38</v>
      </c>
    </row>
    <row r="14" spans="1:22" x14ac:dyDescent="0.2">
      <c r="B14">
        <f>IF('Bulletin de salaire'!C5=B6,C6,IF('Bulletin de salaire'!C5=B7,C7,IF('Bulletin de salaire'!C5=B8,C8,IF('Bulletin de salaire'!C5=0,C13,"Zeil 5 kontroléiren w.e.g."))))</f>
        <v>773.7</v>
      </c>
      <c r="C14" s="57"/>
      <c r="E14" s="60">
        <v>11</v>
      </c>
      <c r="F14" s="61">
        <v>2455</v>
      </c>
      <c r="G14" s="61">
        <v>2610</v>
      </c>
      <c r="H14" s="55">
        <v>0.22</v>
      </c>
      <c r="I14" s="56" t="s">
        <v>114</v>
      </c>
      <c r="J14" s="57">
        <v>351.22500000000002</v>
      </c>
      <c r="L14" s="61">
        <v>2915</v>
      </c>
      <c r="M14" s="61">
        <v>3020</v>
      </c>
      <c r="N14" s="58">
        <v>0.33</v>
      </c>
      <c r="O14" s="56" t="s">
        <v>114</v>
      </c>
      <c r="P14" s="57">
        <v>773.625</v>
      </c>
      <c r="R14" s="61">
        <v>4820</v>
      </c>
      <c r="S14" s="61">
        <v>5140</v>
      </c>
      <c r="T14" s="55">
        <v>0.22</v>
      </c>
      <c r="U14" s="56" t="s">
        <v>114</v>
      </c>
      <c r="V14" s="57">
        <v>683.75</v>
      </c>
    </row>
    <row r="15" spans="1:22" x14ac:dyDescent="0.2">
      <c r="C15" s="57"/>
      <c r="E15" s="60">
        <v>12</v>
      </c>
      <c r="F15" s="61">
        <v>2615</v>
      </c>
      <c r="G15" s="61">
        <v>2775</v>
      </c>
      <c r="H15" s="55">
        <v>0.24</v>
      </c>
      <c r="I15" s="56" t="s">
        <v>114</v>
      </c>
      <c r="J15" s="57">
        <v>403.5</v>
      </c>
      <c r="L15" s="61">
        <v>3025</v>
      </c>
      <c r="M15" s="61">
        <v>3130</v>
      </c>
      <c r="N15" s="58">
        <v>0.36</v>
      </c>
      <c r="O15" s="56" t="s">
        <v>114</v>
      </c>
      <c r="P15" s="57">
        <v>864.3</v>
      </c>
      <c r="R15" s="61">
        <v>5145</v>
      </c>
      <c r="S15" s="61">
        <v>5465</v>
      </c>
      <c r="T15" s="55">
        <v>0.24</v>
      </c>
      <c r="U15" s="56" t="s">
        <v>114</v>
      </c>
      <c r="V15" s="57">
        <v>786.6</v>
      </c>
    </row>
    <row r="16" spans="1:22" x14ac:dyDescent="0.2">
      <c r="E16" s="60">
        <v>13</v>
      </c>
      <c r="F16" s="61">
        <v>2780</v>
      </c>
      <c r="G16" s="61">
        <v>2935</v>
      </c>
      <c r="H16" s="55">
        <v>0.26</v>
      </c>
      <c r="I16" s="56" t="s">
        <v>114</v>
      </c>
      <c r="J16" s="57">
        <v>459.01499999999999</v>
      </c>
      <c r="L16" s="61">
        <v>3135</v>
      </c>
      <c r="M16" s="61">
        <v>8415</v>
      </c>
      <c r="N16" s="58">
        <v>0.39</v>
      </c>
      <c r="O16" s="56" t="s">
        <v>114</v>
      </c>
      <c r="P16" s="57">
        <v>958.21500000000003</v>
      </c>
      <c r="R16" s="61">
        <v>5470</v>
      </c>
      <c r="S16" s="61">
        <v>5790</v>
      </c>
      <c r="T16" s="55">
        <v>0.26</v>
      </c>
      <c r="U16" s="56" t="s">
        <v>114</v>
      </c>
      <c r="V16" s="57">
        <v>895.93</v>
      </c>
    </row>
    <row r="17" spans="5:22" x14ac:dyDescent="0.2">
      <c r="E17" s="60">
        <v>14</v>
      </c>
      <c r="F17" s="61">
        <v>2940</v>
      </c>
      <c r="G17" s="61">
        <v>3095</v>
      </c>
      <c r="H17" s="55">
        <v>0.28000000000000003</v>
      </c>
      <c r="I17" s="56" t="s">
        <v>114</v>
      </c>
      <c r="J17" s="57">
        <v>517.77</v>
      </c>
      <c r="L17" s="61">
        <v>8420</v>
      </c>
      <c r="M17" s="61">
        <v>12585</v>
      </c>
      <c r="N17" s="58">
        <v>0.4</v>
      </c>
      <c r="O17" s="56" t="s">
        <v>114</v>
      </c>
      <c r="P17" s="57">
        <v>1042.4000000000001</v>
      </c>
      <c r="R17" s="61">
        <v>5795</v>
      </c>
      <c r="S17" s="61">
        <v>6110</v>
      </c>
      <c r="T17" s="55">
        <v>0.28000000000000003</v>
      </c>
      <c r="U17" s="56" t="s">
        <v>114</v>
      </c>
      <c r="V17" s="57">
        <v>1011.74</v>
      </c>
    </row>
    <row r="18" spans="5:22" x14ac:dyDescent="0.2">
      <c r="E18" s="60">
        <v>15</v>
      </c>
      <c r="F18" s="61">
        <v>3100</v>
      </c>
      <c r="G18" s="61">
        <v>3260</v>
      </c>
      <c r="H18" s="55">
        <v>0.3</v>
      </c>
      <c r="I18" s="56" t="s">
        <v>114</v>
      </c>
      <c r="J18" s="57">
        <v>579.76499999999999</v>
      </c>
      <c r="L18">
        <v>12590</v>
      </c>
      <c r="M18">
        <v>16750</v>
      </c>
      <c r="N18">
        <v>0.41</v>
      </c>
      <c r="O18" t="s">
        <v>114</v>
      </c>
      <c r="P18">
        <v>1168.25</v>
      </c>
      <c r="R18">
        <v>6115</v>
      </c>
      <c r="S18">
        <v>6435</v>
      </c>
      <c r="T18">
        <v>0.3</v>
      </c>
      <c r="U18" t="s">
        <v>114</v>
      </c>
      <c r="V18">
        <v>1134.03</v>
      </c>
    </row>
    <row r="19" spans="5:22" x14ac:dyDescent="0.2">
      <c r="E19" s="60">
        <v>16</v>
      </c>
      <c r="F19" s="61">
        <v>3265</v>
      </c>
      <c r="G19" s="61">
        <v>3420</v>
      </c>
      <c r="H19" s="55">
        <v>0.32</v>
      </c>
      <c r="I19" s="56" t="s">
        <v>114</v>
      </c>
      <c r="J19" s="57">
        <v>645</v>
      </c>
      <c r="L19">
        <v>16755</v>
      </c>
      <c r="M19">
        <v>9999999.9900000002</v>
      </c>
      <c r="N19">
        <v>0.42</v>
      </c>
      <c r="O19" t="s">
        <v>114</v>
      </c>
      <c r="P19">
        <v>1335.77</v>
      </c>
      <c r="R19">
        <v>6440</v>
      </c>
      <c r="S19">
        <v>6760</v>
      </c>
      <c r="T19">
        <v>0.32</v>
      </c>
      <c r="U19" t="s">
        <v>114</v>
      </c>
      <c r="V19">
        <v>1262.8</v>
      </c>
    </row>
    <row r="20" spans="5:22" x14ac:dyDescent="0.2">
      <c r="E20" s="60">
        <v>17</v>
      </c>
      <c r="F20" s="61">
        <v>3425</v>
      </c>
      <c r="G20" s="61">
        <v>3585</v>
      </c>
      <c r="H20" s="55">
        <v>0.34</v>
      </c>
      <c r="I20" s="56" t="s">
        <v>114</v>
      </c>
      <c r="J20" s="57">
        <v>713.47500000000002</v>
      </c>
      <c r="N20"/>
      <c r="P20"/>
      <c r="R20">
        <v>6765</v>
      </c>
      <c r="S20">
        <v>7085</v>
      </c>
      <c r="T20">
        <v>0.34</v>
      </c>
      <c r="U20" t="s">
        <v>114</v>
      </c>
      <c r="V20">
        <v>1398.05</v>
      </c>
    </row>
    <row r="21" spans="5:22" x14ac:dyDescent="0.2">
      <c r="E21" s="60">
        <v>18</v>
      </c>
      <c r="F21" s="61">
        <v>3590</v>
      </c>
      <c r="G21" s="61">
        <v>3745</v>
      </c>
      <c r="H21" s="55">
        <v>0.36</v>
      </c>
      <c r="I21" s="56" t="s">
        <v>114</v>
      </c>
      <c r="J21" s="57">
        <v>785.19</v>
      </c>
      <c r="N21"/>
      <c r="P21"/>
      <c r="R21">
        <v>7090</v>
      </c>
      <c r="S21">
        <v>7410</v>
      </c>
      <c r="T21">
        <v>0.36</v>
      </c>
      <c r="U21" t="s">
        <v>114</v>
      </c>
      <c r="V21">
        <v>1539.78</v>
      </c>
    </row>
    <row r="22" spans="5:22" x14ac:dyDescent="0.2">
      <c r="E22" s="60">
        <v>19</v>
      </c>
      <c r="F22" s="61">
        <v>3750</v>
      </c>
      <c r="G22" s="61">
        <v>3905</v>
      </c>
      <c r="H22" s="55">
        <v>0.38</v>
      </c>
      <c r="I22" s="56" t="s">
        <v>114</v>
      </c>
      <c r="J22" s="57">
        <v>860.14499999999998</v>
      </c>
      <c r="N22"/>
      <c r="P22"/>
      <c r="R22">
        <v>7415</v>
      </c>
      <c r="S22">
        <v>7730</v>
      </c>
      <c r="T22">
        <v>0.38</v>
      </c>
      <c r="U22" t="s">
        <v>114</v>
      </c>
      <c r="V22">
        <v>1687.99</v>
      </c>
    </row>
    <row r="23" spans="5:22" x14ac:dyDescent="0.2">
      <c r="E23" s="60">
        <v>20</v>
      </c>
      <c r="F23" s="61">
        <v>3910</v>
      </c>
      <c r="G23" s="61">
        <v>8415</v>
      </c>
      <c r="H23" s="55">
        <v>0.39</v>
      </c>
      <c r="I23" s="56" t="s">
        <v>114</v>
      </c>
      <c r="J23" s="57">
        <v>899.24249999999995</v>
      </c>
      <c r="N23"/>
      <c r="P23"/>
      <c r="R23">
        <v>7735</v>
      </c>
      <c r="S23">
        <v>16750</v>
      </c>
      <c r="T23">
        <v>0.39</v>
      </c>
      <c r="U23" t="s">
        <v>114</v>
      </c>
      <c r="V23">
        <v>1765.335</v>
      </c>
    </row>
    <row r="24" spans="5:22" x14ac:dyDescent="0.2">
      <c r="E24" s="60">
        <v>21</v>
      </c>
      <c r="F24" s="61">
        <v>8420</v>
      </c>
      <c r="G24" s="61">
        <v>12585</v>
      </c>
      <c r="H24" s="55">
        <v>0.4</v>
      </c>
      <c r="I24" s="56" t="s">
        <v>114</v>
      </c>
      <c r="J24" s="57">
        <v>983.42750000000001</v>
      </c>
      <c r="N24"/>
      <c r="P24"/>
      <c r="R24">
        <v>16755</v>
      </c>
      <c r="S24">
        <v>25085</v>
      </c>
      <c r="T24">
        <v>0.4</v>
      </c>
      <c r="U24" t="s">
        <v>114</v>
      </c>
      <c r="V24">
        <v>1932.855</v>
      </c>
    </row>
    <row r="25" spans="5:22" x14ac:dyDescent="0.2">
      <c r="E25" s="60">
        <v>22</v>
      </c>
      <c r="F25">
        <v>12590</v>
      </c>
      <c r="G25">
        <v>16750</v>
      </c>
      <c r="H25">
        <v>0.41</v>
      </c>
      <c r="I25" t="s">
        <v>114</v>
      </c>
      <c r="J25">
        <v>1109.2774999999999</v>
      </c>
      <c r="N25"/>
      <c r="P25"/>
      <c r="R25">
        <v>25090</v>
      </c>
      <c r="S25">
        <v>33415</v>
      </c>
      <c r="T25">
        <v>0.41</v>
      </c>
      <c r="U25" t="s">
        <v>114</v>
      </c>
      <c r="V25">
        <v>2183.7049999999999</v>
      </c>
    </row>
    <row r="26" spans="5:22" x14ac:dyDescent="0.2">
      <c r="E26" s="60">
        <v>23</v>
      </c>
      <c r="F26">
        <v>16755</v>
      </c>
      <c r="G26">
        <v>9999999.9900000002</v>
      </c>
      <c r="H26">
        <v>0.42</v>
      </c>
      <c r="I26" t="s">
        <v>114</v>
      </c>
      <c r="J26">
        <v>1276.7974999999999</v>
      </c>
      <c r="N26"/>
      <c r="P26"/>
      <c r="R26">
        <v>33420</v>
      </c>
      <c r="S26">
        <v>9999999.9900000002</v>
      </c>
      <c r="T26">
        <v>0.42</v>
      </c>
      <c r="U26" t="s">
        <v>114</v>
      </c>
      <c r="V26">
        <v>2517.895</v>
      </c>
    </row>
    <row r="27" spans="5:22" x14ac:dyDescent="0.2">
      <c r="H27"/>
      <c r="I27"/>
      <c r="J27"/>
      <c r="N27"/>
      <c r="P27"/>
      <c r="T27"/>
      <c r="V27"/>
    </row>
    <row r="37" spans="7:22" x14ac:dyDescent="0.2">
      <c r="G37" s="55"/>
      <c r="H37" s="56"/>
      <c r="I37" s="57"/>
      <c r="J37"/>
      <c r="M37" s="58"/>
      <c r="N37"/>
      <c r="O37" s="57"/>
      <c r="P37"/>
      <c r="S37" s="55"/>
      <c r="T37"/>
      <c r="U37" s="57"/>
      <c r="V37"/>
    </row>
    <row r="38" spans="7:22" x14ac:dyDescent="0.2">
      <c r="G38" s="55"/>
      <c r="H38" s="56"/>
      <c r="I38" s="57"/>
      <c r="J38"/>
      <c r="M38" s="58"/>
      <c r="N38"/>
      <c r="O38" s="57"/>
      <c r="P38"/>
      <c r="S38" s="55"/>
      <c r="T38"/>
      <c r="U38" s="57"/>
      <c r="V38"/>
    </row>
    <row r="39" spans="7:22" x14ac:dyDescent="0.2">
      <c r="G39" s="55"/>
      <c r="H39" s="56"/>
      <c r="I39" s="57"/>
      <c r="J39"/>
      <c r="M39" s="58"/>
      <c r="N39"/>
      <c r="O39" s="57"/>
      <c r="P39"/>
      <c r="S39" s="55"/>
      <c r="T39"/>
      <c r="U39" s="57"/>
      <c r="V39"/>
    </row>
    <row r="40" spans="7:22" x14ac:dyDescent="0.2">
      <c r="G40" s="55"/>
      <c r="H40" s="56"/>
      <c r="I40" s="57"/>
      <c r="J40"/>
      <c r="M40" s="58"/>
      <c r="N40"/>
      <c r="O40" s="57"/>
      <c r="P40"/>
      <c r="S40" s="55"/>
      <c r="T40"/>
      <c r="U40" s="57"/>
      <c r="V40"/>
    </row>
    <row r="41" spans="7:22" x14ac:dyDescent="0.2">
      <c r="G41" s="55"/>
      <c r="H41" s="56"/>
      <c r="I41" s="57"/>
      <c r="J41"/>
      <c r="M41" s="58"/>
      <c r="N41"/>
      <c r="O41" s="57"/>
      <c r="P41"/>
      <c r="S41" s="55"/>
      <c r="T41"/>
      <c r="U41" s="57"/>
      <c r="V41"/>
    </row>
    <row r="42" spans="7:22" x14ac:dyDescent="0.2">
      <c r="G42" s="55"/>
      <c r="H42" s="56"/>
      <c r="I42" s="57"/>
      <c r="J42"/>
      <c r="M42" s="58"/>
      <c r="N42"/>
      <c r="O42" s="57"/>
      <c r="P42"/>
      <c r="S42" s="55"/>
      <c r="T42"/>
      <c r="U42" s="57"/>
      <c r="V42"/>
    </row>
    <row r="43" spans="7:22" x14ac:dyDescent="0.2">
      <c r="G43" s="55"/>
      <c r="H43" s="56"/>
      <c r="I43" s="57"/>
      <c r="J43"/>
      <c r="M43" s="58"/>
      <c r="N43"/>
      <c r="O43" s="57"/>
      <c r="P43"/>
      <c r="S43" s="55"/>
      <c r="T43"/>
      <c r="U43" s="57"/>
      <c r="V43"/>
    </row>
    <row r="44" spans="7:22" x14ac:dyDescent="0.2">
      <c r="G44" s="55"/>
      <c r="H44" s="56"/>
      <c r="I44" s="57"/>
      <c r="J44"/>
      <c r="M44" s="58"/>
      <c r="N44"/>
      <c r="O44" s="57"/>
      <c r="P44"/>
      <c r="S44" s="55"/>
      <c r="T44"/>
      <c r="U44" s="57"/>
      <c r="V44"/>
    </row>
    <row r="45" spans="7:22" x14ac:dyDescent="0.2">
      <c r="G45" s="55"/>
      <c r="H45" s="56"/>
      <c r="I45" s="57"/>
      <c r="J45"/>
      <c r="M45" s="58"/>
      <c r="N45"/>
      <c r="O45" s="57"/>
      <c r="P45"/>
      <c r="S45" s="55"/>
      <c r="T45"/>
      <c r="U45" s="57"/>
      <c r="V45"/>
    </row>
    <row r="46" spans="7:22" x14ac:dyDescent="0.2">
      <c r="G46" s="55"/>
      <c r="H46" s="56"/>
      <c r="I46" s="57"/>
      <c r="J46"/>
      <c r="M46" s="58"/>
      <c r="N46"/>
      <c r="O46" s="57"/>
      <c r="P46"/>
      <c r="S46" s="55"/>
      <c r="T46"/>
      <c r="U46" s="57"/>
      <c r="V46"/>
    </row>
  </sheetData>
  <mergeCells count="6">
    <mergeCell ref="T3:V3"/>
    <mergeCell ref="F3:G3"/>
    <mergeCell ref="H3:J3"/>
    <mergeCell ref="L3:M3"/>
    <mergeCell ref="N3:P3"/>
    <mergeCell ref="R3:S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80"/>
  <sheetViews>
    <sheetView topLeftCell="A7" workbookViewId="0">
      <selection activeCell="C7" sqref="C7"/>
    </sheetView>
  </sheetViews>
  <sheetFormatPr baseColWidth="10" defaultColWidth="9.140625" defaultRowHeight="12.75" x14ac:dyDescent="0.2"/>
  <cols>
    <col min="1" max="16384" width="9.140625" style="72"/>
  </cols>
  <sheetData>
    <row r="2" spans="2:9" ht="15.75" customHeight="1" x14ac:dyDescent="0.3">
      <c r="B2" s="70" t="s">
        <v>116</v>
      </c>
      <c r="C2" s="71"/>
      <c r="D2" s="71"/>
      <c r="E2" s="71"/>
      <c r="F2" s="71"/>
      <c r="H2" s="73" t="s">
        <v>117</v>
      </c>
      <c r="I2" s="72" t="s">
        <v>118</v>
      </c>
    </row>
    <row r="5" spans="2:9" x14ac:dyDescent="0.2">
      <c r="B5" s="89" t="s">
        <v>119</v>
      </c>
      <c r="C5" s="89">
        <f>'Bulletin de salaire'!E11*'Bulletin de salaire'!F11</f>
        <v>4706.4416449999999</v>
      </c>
      <c r="D5" s="89" t="s">
        <v>127</v>
      </c>
      <c r="E5" s="89">
        <f>C5*13</f>
        <v>61183.741385000001</v>
      </c>
    </row>
    <row r="6" spans="2:9" x14ac:dyDescent="0.2">
      <c r="B6" s="89" t="s">
        <v>128</v>
      </c>
      <c r="C6" s="89"/>
      <c r="D6" s="89"/>
      <c r="E6" s="89">
        <f>1740.46+1591.17</f>
        <v>3331.63</v>
      </c>
    </row>
    <row r="7" spans="2:9" x14ac:dyDescent="0.2">
      <c r="B7" s="89" t="s">
        <v>121</v>
      </c>
      <c r="C7" s="89">
        <f>ROUNDUP((IF(E5+E6&lt;936,0,IF(E5+E6&lt;=11265,300+(E5+E6-936)*0.029,IF(E5+E6&lt;=40000,600,IF(E5+E6&lt;=79999,600-(E5+E6-40000)*0.015,0)))))/12,1)</f>
        <v>19.400000000000002</v>
      </c>
      <c r="D7" s="89" t="s">
        <v>120</v>
      </c>
      <c r="E7" s="89">
        <f>IF(C5*12&lt;936,0,IF(C5*12&lt;=11265,300+(C5*12-936)*0.029,IF(C5*12&lt;=40000,600,IF(C5*12&lt;=79999,600-(C5*12-40000)*0.015,0))))</f>
        <v>352.84050389999999</v>
      </c>
    </row>
    <row r="9" spans="2:9" x14ac:dyDescent="0.2">
      <c r="B9" s="72" t="s">
        <v>122</v>
      </c>
      <c r="C9" s="72" t="s">
        <v>96</v>
      </c>
    </row>
    <row r="10" spans="2:9" x14ac:dyDescent="0.2">
      <c r="B10" s="72">
        <v>0</v>
      </c>
      <c r="C10" s="72">
        <f>ROUNDUP((IF(B10*12&lt;936,0,IF(B10*12&lt;=11265,300+(B10*12-936)*0.029,IF(B10*12&lt;=40000,600,IF(B10*12&lt;=79999,600-(B10*12-40000)*0.015,0)))))/12,1)</f>
        <v>0</v>
      </c>
    </row>
    <row r="11" spans="2:9" x14ac:dyDescent="0.2">
      <c r="B11" s="72">
        <v>100</v>
      </c>
      <c r="C11" s="72">
        <f t="shared" ref="C11:C74" si="0">ROUNDUP((IF(B11*12&lt;936,0,IF(B11*12&lt;=11265,300+(B11*12-936)*0.029,IF(B11*12&lt;=40000,600,IF(B11*12&lt;=79999,600-(B11*12-40000)*0.015,0)))))/12,1)</f>
        <v>25.700000000000003</v>
      </c>
    </row>
    <row r="12" spans="2:9" x14ac:dyDescent="0.2">
      <c r="B12" s="72">
        <v>200</v>
      </c>
      <c r="C12" s="72">
        <f t="shared" si="0"/>
        <v>28.6</v>
      </c>
    </row>
    <row r="13" spans="2:9" x14ac:dyDescent="0.2">
      <c r="B13" s="72">
        <v>300</v>
      </c>
      <c r="C13" s="72">
        <f t="shared" si="0"/>
        <v>31.5</v>
      </c>
    </row>
    <row r="14" spans="2:9" x14ac:dyDescent="0.2">
      <c r="B14" s="72">
        <v>400</v>
      </c>
      <c r="C14" s="72">
        <f t="shared" si="0"/>
        <v>34.4</v>
      </c>
    </row>
    <row r="15" spans="2:9" x14ac:dyDescent="0.2">
      <c r="B15" s="72">
        <v>500</v>
      </c>
      <c r="C15" s="72">
        <f t="shared" si="0"/>
        <v>37.300000000000004</v>
      </c>
    </row>
    <row r="16" spans="2:9" x14ac:dyDescent="0.2">
      <c r="B16" s="72">
        <v>600</v>
      </c>
      <c r="C16" s="72">
        <f t="shared" si="0"/>
        <v>40.200000000000003</v>
      </c>
    </row>
    <row r="17" spans="2:3" x14ac:dyDescent="0.2">
      <c r="B17" s="72">
        <v>700</v>
      </c>
      <c r="C17" s="72">
        <f t="shared" si="0"/>
        <v>43.1</v>
      </c>
    </row>
    <row r="18" spans="2:3" x14ac:dyDescent="0.2">
      <c r="B18" s="72">
        <v>800</v>
      </c>
      <c r="C18" s="72">
        <f t="shared" si="0"/>
        <v>46</v>
      </c>
    </row>
    <row r="19" spans="2:3" x14ac:dyDescent="0.2">
      <c r="B19" s="72">
        <v>900</v>
      </c>
      <c r="C19" s="72">
        <f t="shared" si="0"/>
        <v>48.9</v>
      </c>
    </row>
    <row r="20" spans="2:3" x14ac:dyDescent="0.2">
      <c r="B20" s="72">
        <v>1000</v>
      </c>
      <c r="C20" s="72">
        <f t="shared" si="0"/>
        <v>50</v>
      </c>
    </row>
    <row r="21" spans="2:3" x14ac:dyDescent="0.2">
      <c r="B21" s="72">
        <v>1100</v>
      </c>
      <c r="C21" s="72">
        <f t="shared" si="0"/>
        <v>50</v>
      </c>
    </row>
    <row r="22" spans="2:3" x14ac:dyDescent="0.2">
      <c r="B22" s="72">
        <v>1200</v>
      </c>
      <c r="C22" s="72">
        <f t="shared" si="0"/>
        <v>50</v>
      </c>
    </row>
    <row r="23" spans="2:3" x14ac:dyDescent="0.2">
      <c r="B23" s="72">
        <v>1300</v>
      </c>
      <c r="C23" s="72">
        <f t="shared" si="0"/>
        <v>50</v>
      </c>
    </row>
    <row r="24" spans="2:3" x14ac:dyDescent="0.2">
      <c r="B24" s="72">
        <v>1400</v>
      </c>
      <c r="C24" s="72">
        <f t="shared" si="0"/>
        <v>50</v>
      </c>
    </row>
    <row r="25" spans="2:3" x14ac:dyDescent="0.2">
      <c r="B25" s="72">
        <v>1500</v>
      </c>
      <c r="C25" s="72">
        <f t="shared" si="0"/>
        <v>50</v>
      </c>
    </row>
    <row r="26" spans="2:3" x14ac:dyDescent="0.2">
      <c r="B26" s="72">
        <v>1600</v>
      </c>
      <c r="C26" s="72">
        <f t="shared" si="0"/>
        <v>50</v>
      </c>
    </row>
    <row r="27" spans="2:3" x14ac:dyDescent="0.2">
      <c r="B27" s="72">
        <v>1700</v>
      </c>
      <c r="C27" s="72">
        <f t="shared" si="0"/>
        <v>50</v>
      </c>
    </row>
    <row r="28" spans="2:3" x14ac:dyDescent="0.2">
      <c r="B28" s="72">
        <v>1800</v>
      </c>
      <c r="C28" s="72">
        <f t="shared" si="0"/>
        <v>50</v>
      </c>
    </row>
    <row r="29" spans="2:3" x14ac:dyDescent="0.2">
      <c r="B29" s="72">
        <v>1900</v>
      </c>
      <c r="C29" s="72">
        <f t="shared" si="0"/>
        <v>50</v>
      </c>
    </row>
    <row r="30" spans="2:3" x14ac:dyDescent="0.2">
      <c r="B30" s="72">
        <v>2000</v>
      </c>
      <c r="C30" s="72">
        <f t="shared" si="0"/>
        <v>50</v>
      </c>
    </row>
    <row r="31" spans="2:3" x14ac:dyDescent="0.2">
      <c r="B31" s="72">
        <v>2100</v>
      </c>
      <c r="C31" s="72">
        <f t="shared" si="0"/>
        <v>50</v>
      </c>
    </row>
    <row r="32" spans="2:3" x14ac:dyDescent="0.2">
      <c r="B32" s="72">
        <v>2200</v>
      </c>
      <c r="C32" s="72">
        <f t="shared" si="0"/>
        <v>50</v>
      </c>
    </row>
    <row r="33" spans="2:3" x14ac:dyDescent="0.2">
      <c r="B33" s="72">
        <v>2300</v>
      </c>
      <c r="C33" s="72">
        <f t="shared" si="0"/>
        <v>50</v>
      </c>
    </row>
    <row r="34" spans="2:3" x14ac:dyDescent="0.2">
      <c r="B34" s="72">
        <v>2400</v>
      </c>
      <c r="C34" s="72">
        <f t="shared" si="0"/>
        <v>50</v>
      </c>
    </row>
    <row r="35" spans="2:3" x14ac:dyDescent="0.2">
      <c r="B35" s="72">
        <v>2500</v>
      </c>
      <c r="C35" s="72">
        <f t="shared" si="0"/>
        <v>50</v>
      </c>
    </row>
    <row r="36" spans="2:3" x14ac:dyDescent="0.2">
      <c r="B36" s="72">
        <v>2600</v>
      </c>
      <c r="C36" s="72">
        <f t="shared" si="0"/>
        <v>50</v>
      </c>
    </row>
    <row r="37" spans="2:3" x14ac:dyDescent="0.2">
      <c r="B37" s="72">
        <v>2700</v>
      </c>
      <c r="C37" s="72">
        <f t="shared" si="0"/>
        <v>50</v>
      </c>
    </row>
    <row r="38" spans="2:3" x14ac:dyDescent="0.2">
      <c r="B38" s="72">
        <v>2800</v>
      </c>
      <c r="C38" s="72">
        <f t="shared" si="0"/>
        <v>50</v>
      </c>
    </row>
    <row r="39" spans="2:3" x14ac:dyDescent="0.2">
      <c r="B39" s="72">
        <v>2900</v>
      </c>
      <c r="C39" s="72">
        <f t="shared" si="0"/>
        <v>50</v>
      </c>
    </row>
    <row r="40" spans="2:3" x14ac:dyDescent="0.2">
      <c r="B40" s="72">
        <v>3000</v>
      </c>
      <c r="C40" s="72">
        <f t="shared" si="0"/>
        <v>50</v>
      </c>
    </row>
    <row r="41" spans="2:3" x14ac:dyDescent="0.2">
      <c r="B41" s="72">
        <v>3100</v>
      </c>
      <c r="C41" s="72">
        <f t="shared" si="0"/>
        <v>50</v>
      </c>
    </row>
    <row r="42" spans="2:3" x14ac:dyDescent="0.2">
      <c r="B42" s="72">
        <v>3200</v>
      </c>
      <c r="C42" s="72">
        <f t="shared" si="0"/>
        <v>50</v>
      </c>
    </row>
    <row r="43" spans="2:3" x14ac:dyDescent="0.2">
      <c r="B43" s="72">
        <v>3300</v>
      </c>
      <c r="C43" s="72">
        <f t="shared" si="0"/>
        <v>50</v>
      </c>
    </row>
    <row r="44" spans="2:3" x14ac:dyDescent="0.2">
      <c r="B44" s="72">
        <v>3400</v>
      </c>
      <c r="C44" s="72">
        <f t="shared" si="0"/>
        <v>49</v>
      </c>
    </row>
    <row r="45" spans="2:3" x14ac:dyDescent="0.2">
      <c r="B45" s="72">
        <v>3500</v>
      </c>
      <c r="C45" s="72">
        <f t="shared" si="0"/>
        <v>47.5</v>
      </c>
    </row>
    <row r="46" spans="2:3" x14ac:dyDescent="0.2">
      <c r="B46" s="72">
        <v>3600</v>
      </c>
      <c r="C46" s="72">
        <f t="shared" si="0"/>
        <v>46</v>
      </c>
    </row>
    <row r="47" spans="2:3" x14ac:dyDescent="0.2">
      <c r="B47" s="72">
        <v>3700</v>
      </c>
      <c r="C47" s="72">
        <f t="shared" si="0"/>
        <v>44.5</v>
      </c>
    </row>
    <row r="48" spans="2:3" x14ac:dyDescent="0.2">
      <c r="B48" s="72">
        <v>3800</v>
      </c>
      <c r="C48" s="72">
        <f t="shared" si="0"/>
        <v>43</v>
      </c>
    </row>
    <row r="49" spans="2:3" x14ac:dyDescent="0.2">
      <c r="B49" s="72">
        <v>3900</v>
      </c>
      <c r="C49" s="72">
        <f t="shared" si="0"/>
        <v>41.5</v>
      </c>
    </row>
    <row r="50" spans="2:3" x14ac:dyDescent="0.2">
      <c r="B50" s="72">
        <v>4000</v>
      </c>
      <c r="C50" s="72">
        <f t="shared" si="0"/>
        <v>40</v>
      </c>
    </row>
    <row r="51" spans="2:3" x14ac:dyDescent="0.2">
      <c r="B51" s="72">
        <v>4100</v>
      </c>
      <c r="C51" s="72">
        <f t="shared" si="0"/>
        <v>38.5</v>
      </c>
    </row>
    <row r="52" spans="2:3" x14ac:dyDescent="0.2">
      <c r="B52" s="72">
        <v>4200</v>
      </c>
      <c r="C52" s="72">
        <f t="shared" si="0"/>
        <v>37</v>
      </c>
    </row>
    <row r="53" spans="2:3" x14ac:dyDescent="0.2">
      <c r="B53" s="72">
        <v>4300</v>
      </c>
      <c r="C53" s="72">
        <f t="shared" si="0"/>
        <v>35.5</v>
      </c>
    </row>
    <row r="54" spans="2:3" x14ac:dyDescent="0.2">
      <c r="B54" s="72">
        <v>4400</v>
      </c>
      <c r="C54" s="72">
        <f t="shared" si="0"/>
        <v>34</v>
      </c>
    </row>
    <row r="55" spans="2:3" x14ac:dyDescent="0.2">
      <c r="B55" s="72">
        <v>4500</v>
      </c>
      <c r="C55" s="72">
        <f t="shared" si="0"/>
        <v>32.5</v>
      </c>
    </row>
    <row r="56" spans="2:3" x14ac:dyDescent="0.2">
      <c r="B56" s="72">
        <v>4600</v>
      </c>
      <c r="C56" s="72">
        <f t="shared" si="0"/>
        <v>31</v>
      </c>
    </row>
    <row r="57" spans="2:3" x14ac:dyDescent="0.2">
      <c r="B57" s="72">
        <v>4700</v>
      </c>
      <c r="C57" s="72">
        <f t="shared" si="0"/>
        <v>29.5</v>
      </c>
    </row>
    <row r="58" spans="2:3" x14ac:dyDescent="0.2">
      <c r="B58" s="72">
        <v>4800</v>
      </c>
      <c r="C58" s="72">
        <f t="shared" si="0"/>
        <v>28</v>
      </c>
    </row>
    <row r="59" spans="2:3" x14ac:dyDescent="0.2">
      <c r="B59" s="72">
        <v>4900</v>
      </c>
      <c r="C59" s="72">
        <f t="shared" si="0"/>
        <v>26.5</v>
      </c>
    </row>
    <row r="60" spans="2:3" x14ac:dyDescent="0.2">
      <c r="B60" s="72">
        <v>5000</v>
      </c>
      <c r="C60" s="72">
        <f t="shared" si="0"/>
        <v>25</v>
      </c>
    </row>
    <row r="61" spans="2:3" x14ac:dyDescent="0.2">
      <c r="B61" s="72">
        <v>5100</v>
      </c>
      <c r="C61" s="72">
        <f t="shared" si="0"/>
        <v>23.5</v>
      </c>
    </row>
    <row r="62" spans="2:3" x14ac:dyDescent="0.2">
      <c r="B62" s="72">
        <v>5200</v>
      </c>
      <c r="C62" s="72">
        <f t="shared" si="0"/>
        <v>22</v>
      </c>
    </row>
    <row r="63" spans="2:3" x14ac:dyDescent="0.2">
      <c r="B63" s="72">
        <v>5300</v>
      </c>
      <c r="C63" s="72">
        <f t="shared" si="0"/>
        <v>20.5</v>
      </c>
    </row>
    <row r="64" spans="2:3" x14ac:dyDescent="0.2">
      <c r="B64" s="72">
        <v>5400</v>
      </c>
      <c r="C64" s="72">
        <f t="shared" si="0"/>
        <v>19</v>
      </c>
    </row>
    <row r="65" spans="2:3" x14ac:dyDescent="0.2">
      <c r="B65" s="72">
        <v>5500</v>
      </c>
      <c r="C65" s="72">
        <f t="shared" si="0"/>
        <v>17.5</v>
      </c>
    </row>
    <row r="66" spans="2:3" x14ac:dyDescent="0.2">
      <c r="B66" s="72">
        <v>5600</v>
      </c>
      <c r="C66" s="72">
        <f t="shared" si="0"/>
        <v>16</v>
      </c>
    </row>
    <row r="67" spans="2:3" x14ac:dyDescent="0.2">
      <c r="B67" s="72">
        <v>5700</v>
      </c>
      <c r="C67" s="72">
        <f t="shared" si="0"/>
        <v>14.5</v>
      </c>
    </row>
    <row r="68" spans="2:3" x14ac:dyDescent="0.2">
      <c r="B68" s="72">
        <v>5800</v>
      </c>
      <c r="C68" s="72">
        <f t="shared" si="0"/>
        <v>13</v>
      </c>
    </row>
    <row r="69" spans="2:3" x14ac:dyDescent="0.2">
      <c r="B69" s="72">
        <v>5900</v>
      </c>
      <c r="C69" s="72">
        <f t="shared" si="0"/>
        <v>11.5</v>
      </c>
    </row>
    <row r="70" spans="2:3" x14ac:dyDescent="0.2">
      <c r="B70" s="72">
        <v>6000</v>
      </c>
      <c r="C70" s="72">
        <f t="shared" si="0"/>
        <v>10</v>
      </c>
    </row>
    <row r="71" spans="2:3" x14ac:dyDescent="0.2">
      <c r="B71" s="72">
        <v>6100</v>
      </c>
      <c r="C71" s="72">
        <f t="shared" si="0"/>
        <v>8.5</v>
      </c>
    </row>
    <row r="72" spans="2:3" x14ac:dyDescent="0.2">
      <c r="B72" s="72">
        <v>6200</v>
      </c>
      <c r="C72" s="72">
        <f t="shared" si="0"/>
        <v>7</v>
      </c>
    </row>
    <row r="73" spans="2:3" x14ac:dyDescent="0.2">
      <c r="B73" s="72">
        <v>6300</v>
      </c>
      <c r="C73" s="72">
        <f t="shared" si="0"/>
        <v>5.5</v>
      </c>
    </row>
    <row r="74" spans="2:3" x14ac:dyDescent="0.2">
      <c r="B74" s="72">
        <v>6400</v>
      </c>
      <c r="C74" s="72">
        <f t="shared" si="0"/>
        <v>4</v>
      </c>
    </row>
    <row r="75" spans="2:3" x14ac:dyDescent="0.2">
      <c r="B75" s="72">
        <v>6500</v>
      </c>
      <c r="C75" s="72">
        <f t="shared" ref="C75:C80" si="1">ROUNDUP((IF(B75*12&lt;936,0,IF(B75*12&lt;=11265,300+(B75*12-936)*0.029,IF(B75*12&lt;=40000,600,IF(B75*12&lt;=79999,600-(B75*12-40000)*0.015,0)))))/12,1)</f>
        <v>2.5</v>
      </c>
    </row>
    <row r="76" spans="2:3" x14ac:dyDescent="0.2">
      <c r="B76" s="72">
        <v>6600</v>
      </c>
      <c r="C76" s="72">
        <f t="shared" si="1"/>
        <v>1</v>
      </c>
    </row>
    <row r="77" spans="2:3" x14ac:dyDescent="0.2">
      <c r="B77" s="72">
        <v>6700</v>
      </c>
      <c r="C77" s="72">
        <f t="shared" si="1"/>
        <v>0</v>
      </c>
    </row>
    <row r="78" spans="2:3" x14ac:dyDescent="0.2">
      <c r="B78" s="72">
        <v>6800</v>
      </c>
      <c r="C78" s="72">
        <f t="shared" si="1"/>
        <v>0</v>
      </c>
    </row>
    <row r="79" spans="2:3" x14ac:dyDescent="0.2">
      <c r="B79" s="72">
        <v>6900</v>
      </c>
      <c r="C79" s="72">
        <f t="shared" si="1"/>
        <v>0</v>
      </c>
    </row>
    <row r="80" spans="2:3" x14ac:dyDescent="0.2">
      <c r="B80" s="72">
        <v>7000</v>
      </c>
      <c r="C80" s="72">
        <f t="shared" si="1"/>
        <v>0</v>
      </c>
    </row>
  </sheetData>
  <hyperlinks>
    <hyperlink ref="I2"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I25"/>
  <sheetViews>
    <sheetView workbookViewId="0">
      <pane xSplit="3" topLeftCell="D1" activePane="topRight" state="frozen"/>
      <selection pane="topRight" activeCell="A7" sqref="A7:A25"/>
    </sheetView>
  </sheetViews>
  <sheetFormatPr baseColWidth="10" defaultColWidth="9.140625" defaultRowHeight="12.75" x14ac:dyDescent="0.2"/>
  <cols>
    <col min="2" max="2" width="5.140625" customWidth="1"/>
    <col min="3" max="3" width="31.85546875" customWidth="1"/>
    <col min="4" max="4" width="6.140625" style="101" customWidth="1"/>
    <col min="5" max="6" width="5.7109375" style="102" customWidth="1"/>
    <col min="7" max="10" width="5.7109375" customWidth="1"/>
    <col min="11" max="13" width="5.7109375" style="102" customWidth="1"/>
    <col min="14" max="15" width="5.7109375" customWidth="1"/>
    <col min="16" max="16" width="5.7109375" style="102" customWidth="1"/>
    <col min="17" max="18" width="5.7109375" customWidth="1"/>
    <col min="19" max="24" width="5.7109375" style="102" customWidth="1"/>
    <col min="25" max="35" width="5.7109375" customWidth="1"/>
  </cols>
  <sheetData>
    <row r="2" spans="1:35" x14ac:dyDescent="0.2">
      <c r="D2" s="101" t="s">
        <v>141</v>
      </c>
    </row>
    <row r="6" spans="1:35" x14ac:dyDescent="0.2">
      <c r="D6" s="101" t="s">
        <v>140</v>
      </c>
      <c r="E6" s="102">
        <v>1</v>
      </c>
      <c r="F6" s="102">
        <v>2</v>
      </c>
      <c r="G6">
        <v>3</v>
      </c>
      <c r="H6">
        <v>4</v>
      </c>
      <c r="I6">
        <v>5</v>
      </c>
      <c r="J6">
        <v>6</v>
      </c>
      <c r="K6" s="102">
        <v>7</v>
      </c>
      <c r="L6" s="102">
        <v>8</v>
      </c>
      <c r="M6" s="102">
        <v>9</v>
      </c>
      <c r="N6">
        <v>10</v>
      </c>
      <c r="O6">
        <v>11</v>
      </c>
      <c r="P6" s="102">
        <v>12</v>
      </c>
      <c r="Q6">
        <v>13</v>
      </c>
      <c r="R6">
        <v>14</v>
      </c>
      <c r="S6" s="102">
        <v>15</v>
      </c>
      <c r="T6" s="102">
        <v>16</v>
      </c>
      <c r="U6" s="102">
        <v>17</v>
      </c>
      <c r="V6" s="102">
        <v>18</v>
      </c>
      <c r="W6" s="102">
        <v>19</v>
      </c>
      <c r="X6" s="102">
        <v>20</v>
      </c>
      <c r="Y6">
        <v>21</v>
      </c>
      <c r="Z6">
        <v>22</v>
      </c>
      <c r="AA6">
        <v>23</v>
      </c>
      <c r="AB6">
        <v>24</v>
      </c>
      <c r="AC6">
        <v>25</v>
      </c>
      <c r="AD6">
        <v>26</v>
      </c>
      <c r="AE6">
        <v>27</v>
      </c>
      <c r="AF6">
        <v>28</v>
      </c>
      <c r="AG6">
        <v>29</v>
      </c>
      <c r="AH6">
        <v>30</v>
      </c>
      <c r="AI6">
        <v>31</v>
      </c>
    </row>
    <row r="7" spans="1:35" x14ac:dyDescent="0.2">
      <c r="A7">
        <v>22.5</v>
      </c>
      <c r="B7" t="s">
        <v>15</v>
      </c>
      <c r="C7" t="s">
        <v>16</v>
      </c>
      <c r="D7" s="101">
        <f>SUM(E7:AI7)</f>
        <v>22.5</v>
      </c>
      <c r="E7" s="102">
        <v>9</v>
      </c>
      <c r="F7" s="102">
        <v>8.5</v>
      </c>
      <c r="X7" s="102">
        <v>5</v>
      </c>
    </row>
    <row r="8" spans="1:35" x14ac:dyDescent="0.2">
      <c r="A8">
        <v>90</v>
      </c>
      <c r="B8" t="s">
        <v>17</v>
      </c>
      <c r="C8" t="s">
        <v>18</v>
      </c>
      <c r="D8" s="101">
        <f t="shared" ref="D8:D25" si="0">SUM(E8:AI8)</f>
        <v>90</v>
      </c>
      <c r="K8" s="102">
        <v>2</v>
      </c>
      <c r="L8" s="102">
        <v>24</v>
      </c>
      <c r="M8" s="102">
        <v>24</v>
      </c>
      <c r="P8" s="102">
        <v>2</v>
      </c>
      <c r="U8" s="102">
        <v>8</v>
      </c>
      <c r="W8" s="102">
        <v>9</v>
      </c>
      <c r="AA8">
        <v>21</v>
      </c>
    </row>
    <row r="9" spans="1:35" x14ac:dyDescent="0.2">
      <c r="A9">
        <v>51</v>
      </c>
      <c r="B9" t="s">
        <v>19</v>
      </c>
      <c r="C9" t="s">
        <v>20</v>
      </c>
      <c r="D9" s="101">
        <f t="shared" si="0"/>
        <v>51</v>
      </c>
      <c r="S9" s="102">
        <v>24</v>
      </c>
      <c r="T9" s="102">
        <v>18</v>
      </c>
      <c r="V9" s="102">
        <v>9</v>
      </c>
    </row>
    <row r="10" spans="1:35" x14ac:dyDescent="0.2">
      <c r="B10" t="s">
        <v>21</v>
      </c>
      <c r="C10" t="s">
        <v>22</v>
      </c>
      <c r="D10" s="101">
        <f t="shared" si="0"/>
        <v>0</v>
      </c>
    </row>
    <row r="11" spans="1:35" x14ac:dyDescent="0.2">
      <c r="A11">
        <v>22.5</v>
      </c>
      <c r="B11" t="s">
        <v>23</v>
      </c>
      <c r="C11" t="s">
        <v>24</v>
      </c>
      <c r="D11" s="101">
        <f t="shared" si="0"/>
        <v>22.5</v>
      </c>
      <c r="E11" s="102">
        <v>9</v>
      </c>
      <c r="F11" s="102">
        <v>8.5</v>
      </c>
      <c r="X11" s="102">
        <v>5</v>
      </c>
    </row>
    <row r="12" spans="1:35" x14ac:dyDescent="0.2">
      <c r="A12">
        <v>8.5</v>
      </c>
      <c r="B12" t="s">
        <v>25</v>
      </c>
      <c r="C12" t="s">
        <v>26</v>
      </c>
      <c r="D12" s="101">
        <f t="shared" si="0"/>
        <v>0</v>
      </c>
    </row>
    <row r="13" spans="1:35" x14ac:dyDescent="0.2">
      <c r="B13" t="s">
        <v>27</v>
      </c>
      <c r="C13" t="s">
        <v>28</v>
      </c>
      <c r="D13" s="101">
        <f t="shared" si="0"/>
        <v>0</v>
      </c>
    </row>
    <row r="14" spans="1:35" x14ac:dyDescent="0.2">
      <c r="A14">
        <v>59</v>
      </c>
      <c r="B14" t="s">
        <v>29</v>
      </c>
      <c r="C14" t="s">
        <v>30</v>
      </c>
      <c r="D14" s="101">
        <f t="shared" si="0"/>
        <v>59</v>
      </c>
      <c r="L14" s="102">
        <v>14</v>
      </c>
      <c r="M14" s="102">
        <v>14</v>
      </c>
      <c r="U14" s="102">
        <v>8</v>
      </c>
      <c r="W14" s="102">
        <v>9</v>
      </c>
      <c r="AA14">
        <v>14</v>
      </c>
    </row>
    <row r="15" spans="1:35" x14ac:dyDescent="0.2">
      <c r="A15">
        <v>44</v>
      </c>
      <c r="B15" t="s">
        <v>31</v>
      </c>
      <c r="C15" t="s">
        <v>32</v>
      </c>
      <c r="D15" s="101">
        <f t="shared" si="0"/>
        <v>44</v>
      </c>
      <c r="M15" s="102">
        <v>24</v>
      </c>
      <c r="AA15">
        <v>20</v>
      </c>
    </row>
    <row r="16" spans="1:35" x14ac:dyDescent="0.2">
      <c r="B16" t="s">
        <v>33</v>
      </c>
      <c r="C16" t="s">
        <v>34</v>
      </c>
      <c r="D16" s="101">
        <f t="shared" si="0"/>
        <v>0</v>
      </c>
    </row>
    <row r="17" spans="1:27" x14ac:dyDescent="0.2">
      <c r="A17">
        <v>37</v>
      </c>
      <c r="B17" t="s">
        <v>35</v>
      </c>
      <c r="C17" t="s">
        <v>36</v>
      </c>
      <c r="D17" s="101">
        <f t="shared" si="0"/>
        <v>37</v>
      </c>
      <c r="S17" s="102">
        <v>14</v>
      </c>
      <c r="T17" s="102">
        <v>14</v>
      </c>
      <c r="V17" s="102">
        <v>9</v>
      </c>
    </row>
    <row r="18" spans="1:27" x14ac:dyDescent="0.2">
      <c r="A18">
        <v>18</v>
      </c>
      <c r="B18" t="s">
        <v>38</v>
      </c>
      <c r="C18" t="s">
        <v>39</v>
      </c>
      <c r="D18" s="101">
        <f t="shared" si="0"/>
        <v>18</v>
      </c>
      <c r="T18" s="102">
        <v>18</v>
      </c>
    </row>
    <row r="19" spans="1:27" x14ac:dyDescent="0.2">
      <c r="A19">
        <v>23</v>
      </c>
      <c r="B19" t="s">
        <v>41</v>
      </c>
      <c r="C19" t="s">
        <v>42</v>
      </c>
      <c r="D19" s="101">
        <f t="shared" si="0"/>
        <v>23</v>
      </c>
      <c r="S19" s="102">
        <v>23</v>
      </c>
    </row>
    <row r="20" spans="1:27" x14ac:dyDescent="0.2">
      <c r="A20">
        <v>12.5</v>
      </c>
      <c r="B20" t="s">
        <v>44</v>
      </c>
      <c r="C20" t="s">
        <v>45</v>
      </c>
      <c r="D20" s="101">
        <f t="shared" si="0"/>
        <v>12.5</v>
      </c>
      <c r="F20" s="102">
        <v>3.5</v>
      </c>
      <c r="T20" s="102">
        <v>6</v>
      </c>
      <c r="AA20">
        <v>3</v>
      </c>
    </row>
    <row r="21" spans="1:27" x14ac:dyDescent="0.2">
      <c r="B21" t="s">
        <v>46</v>
      </c>
      <c r="C21" t="s">
        <v>47</v>
      </c>
      <c r="D21" s="101">
        <f t="shared" si="0"/>
        <v>0</v>
      </c>
    </row>
    <row r="22" spans="1:27" x14ac:dyDescent="0.2">
      <c r="A22">
        <v>4</v>
      </c>
      <c r="B22" t="s">
        <v>48</v>
      </c>
      <c r="C22" t="s">
        <v>49</v>
      </c>
      <c r="D22" s="101">
        <f t="shared" si="0"/>
        <v>7</v>
      </c>
      <c r="E22" s="102">
        <v>3</v>
      </c>
      <c r="X22" s="102">
        <v>4</v>
      </c>
    </row>
    <row r="23" spans="1:27" x14ac:dyDescent="0.2">
      <c r="B23" t="s">
        <v>50</v>
      </c>
      <c r="C23" t="s">
        <v>137</v>
      </c>
      <c r="D23" s="101">
        <f t="shared" si="0"/>
        <v>0</v>
      </c>
    </row>
    <row r="24" spans="1:27" x14ac:dyDescent="0.2">
      <c r="B24" t="s">
        <v>52</v>
      </c>
      <c r="C24" t="s">
        <v>138</v>
      </c>
      <c r="D24" s="101">
        <f t="shared" si="0"/>
        <v>0</v>
      </c>
    </row>
    <row r="25" spans="1:27" x14ac:dyDescent="0.2">
      <c r="A25">
        <v>4.5</v>
      </c>
      <c r="B25" t="s">
        <v>54</v>
      </c>
      <c r="C25" t="s">
        <v>139</v>
      </c>
      <c r="D25" s="101">
        <f t="shared" si="0"/>
        <v>1.5</v>
      </c>
      <c r="F25" s="102">
        <v>0.5</v>
      </c>
      <c r="U25" s="102">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Bulletin de salaire</vt:lpstr>
      <vt:lpstr>Steuermodul 2017</vt:lpstr>
      <vt:lpstr>Credit d impot salaries 2017</vt:lpstr>
      <vt:lpstr>Sheet1</vt:lpstr>
      <vt:lpstr>'Bulletin de salaire'!Druckbereich</vt:lpstr>
      <vt:lpstr>Sheet1!Druckbereich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Fränk Siebenaller</dc:creator>
  <cp:lastModifiedBy>Fränk Siebenaller</cp:lastModifiedBy>
  <cp:lastPrinted>2017-08-13T13:31:17Z</cp:lastPrinted>
  <dcterms:created xsi:type="dcterms:W3CDTF">2015-02-15T16:55:41Z</dcterms:created>
  <dcterms:modified xsi:type="dcterms:W3CDTF">2022-04-25T09:36:38Z</dcterms:modified>
</cp:coreProperties>
</file>