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80" windowHeight="9345" activeTab="0"/>
  </bookViews>
  <sheets>
    <sheet name="steuern" sheetId="1" r:id="rId1"/>
  </sheets>
  <definedNames>
    <definedName name="_xlnm.Print_Area" localSheetId="0">'steuern'!$A$1:$G$60</definedName>
    <definedName name="Imposable">'steuern'!$L$47</definedName>
    <definedName name="Rp">'steuern'!$L$48</definedName>
  </definedNames>
  <calcPr fullCalcOnLoad="1"/>
</workbook>
</file>

<file path=xl/comments1.xml><?xml version="1.0" encoding="utf-8"?>
<comments xmlns="http://schemas.openxmlformats.org/spreadsheetml/2006/main">
  <authors>
    <author>Fr?nk</author>
    <author>frank.siebenaller</author>
  </authors>
  <commentList>
    <comment ref="F52" authorId="0">
      <text>
        <r>
          <rPr>
            <b/>
            <sz val="8"/>
            <rFont val="Tahoma"/>
            <family val="0"/>
          </rPr>
          <t xml:space="preserve">à partir du 1.1.2007
</t>
        </r>
        <r>
          <rPr>
            <sz val="8"/>
            <rFont val="Tahoma"/>
            <family val="0"/>
          </rPr>
          <t xml:space="preserve">
</t>
        </r>
      </text>
    </comment>
    <comment ref="N35" authorId="0">
      <text>
        <r>
          <rPr>
            <b/>
            <sz val="8"/>
            <rFont val="Tahoma"/>
            <family val="0"/>
          </rPr>
          <t xml:space="preserve">0€ à partir de 2008
</t>
        </r>
        <r>
          <rPr>
            <sz val="8"/>
            <rFont val="Tahoma"/>
            <family val="0"/>
          </rPr>
          <t xml:space="preserve">
</t>
        </r>
      </text>
    </comment>
    <comment ref="B5" authorId="0">
      <text>
        <r>
          <rPr>
            <b/>
            <sz val="8"/>
            <rFont val="Tahoma"/>
            <family val="0"/>
          </rPr>
          <t>Selon barrème 
ou pour Fiche de retenue d'impôt additionnelle:
Classe1=33%
Classe1a=21%
Classe2=15%</t>
        </r>
      </text>
    </comment>
    <comment ref="AR13" authorId="0">
      <text>
        <r>
          <rPr>
            <b/>
            <sz val="8"/>
            <rFont val="Tahoma"/>
            <family val="0"/>
          </rPr>
          <t xml:space="preserve">Stop à partir du1.8.2008
</t>
        </r>
      </text>
    </comment>
    <comment ref="U45" authorId="0">
      <text>
        <r>
          <rPr>
            <b/>
            <sz val="8"/>
            <rFont val="Tahoma"/>
            <family val="0"/>
          </rPr>
          <t xml:space="preserve">annulé à partir du 11.1.2008
</t>
        </r>
      </text>
    </comment>
    <comment ref="R35" authorId="0">
      <text>
        <r>
          <rPr>
            <b/>
            <sz val="8"/>
            <rFont val="Tahoma"/>
            <family val="0"/>
          </rPr>
          <t xml:space="preserve">annulé à partir du 11.1.2008
</t>
        </r>
      </text>
    </comment>
    <comment ref="B69" authorId="0">
      <text>
        <r>
          <rPr>
            <b/>
            <sz val="8"/>
            <rFont val="Tahoma"/>
            <family val="0"/>
          </rPr>
          <t xml:space="preserve"> Assurence dépendance:
</t>
        </r>
        <r>
          <rPr>
            <sz val="8"/>
            <rFont val="Tahoma"/>
            <family val="2"/>
          </rPr>
          <t>Un salarié, qui travaille au moins 160 heures par mois, a droit à l'abattement intégral, c'est-à-dire à 1/4 du salaire social minimum.</t>
        </r>
      </text>
    </comment>
    <comment ref="AR9" authorId="0">
      <text>
        <r>
          <rPr>
            <sz val="8"/>
            <rFont val="Tahoma"/>
            <family val="0"/>
          </rPr>
          <t>fiche de retenue d'impôt additionnelle.Classe 1
à partir du 1/1/2013</t>
        </r>
      </text>
    </comment>
    <comment ref="AR10" authorId="0">
      <text>
        <r>
          <rPr>
            <b/>
            <sz val="8"/>
            <rFont val="Tahoma"/>
            <family val="0"/>
          </rPr>
          <t>fiche de retenue d'impôt additionnelle.Classe 1a</t>
        </r>
      </text>
    </comment>
    <comment ref="AR11" authorId="0">
      <text>
        <r>
          <rPr>
            <b/>
            <sz val="8"/>
            <rFont val="Tahoma"/>
            <family val="0"/>
          </rPr>
          <t>fiche de retenue d'impôt additionnelle.Classe 2</t>
        </r>
      </text>
    </comment>
    <comment ref="B6" authorId="0">
      <text>
        <r>
          <rPr>
            <sz val="8"/>
            <rFont val="Tahoma"/>
            <family val="0"/>
          </rPr>
          <t>à partir du 1/1/2013:
Modification de la loi modifiée du 4 décembre 1967
concernant l’impôt sur le revenu
Le montant de la déduction forfaitaire est fixé comme suit: Lorsque l’éloignement entre les chefs-lieux (ou sièges) dépasse 4 unités sans dépasser 30 unités d’éloignement, la déduction forfaitaire pour frais de déplacement est à compter à concurrence de 99 euros par unité d’éloignement.
Les 4 premières unités d’éloignement ne sont pas prises en compte et la déduction forfaitaire pour un éloignement dépassant 30 unités d’éloignement est limitée à 2.574 euros.
En cas de modification de la situation du contribuable par suite de changement de son domicile ou de son lieu de travail, la nouvelle situation n’est prise en considération que s’il en résulte un accroissement du nombre des unités d’éloignement. Dans ce cas, la modification de la déduction forfaitaire prend effet à partir du début du mois où intervient l’événement de changement de la situation.
Lorsque l’assujettissement du contribuable à l’impôt n’a pas existé durant toute l’année, la déduction forfaitaire se réduit au douzième de son montant par mois entier d’assujettissement.</t>
        </r>
      </text>
    </comment>
    <comment ref="O49" authorId="0">
      <text>
        <r>
          <rPr>
            <sz val="8"/>
            <rFont val="Tahoma"/>
            <family val="0"/>
          </rPr>
          <t xml:space="preserve">a.p.1.1.2013:L'impôt est à déterminer à l'aide des formules générales et à arrondir au multiple inférieur de 10 cents.
Si le revenu est inférieur à 12.585 €, l'impôt est à majorer de 7% et à arrondir au multiple inférieur de 10
cents.(Pas retenu pour le calcul dans ce cct car revenue toujours inferieur:
Si le revenu est égal ou supérieur à 12.585 €, l'impôt est à majorer de (I*0,09 --165,74); I étant l'impôt non-
majoré.
Ce montant est à arrondir au multiple inférieur de 10 cents.)
</t>
        </r>
      </text>
    </comment>
    <comment ref="O54" authorId="0">
      <text>
        <r>
          <rPr>
            <b/>
            <sz val="8"/>
            <rFont val="Tahoma"/>
            <family val="0"/>
          </rPr>
          <t>a.p.1.1.2013:L'impôt est à déterminer à l'aide des formules générales et à arrondir au multiple inférieur de 10 cents.
Si le revenu est inférieur à 12.585 €, l'impôt est à majorer de 7% et à arrondir au multiple inférieur de 10
cents.(Pas retenu pour le calcul dans ce cct car revenue toujours inferieur:
Si le revenu est égal ou supérieur à 12.585 €, l'impôt est à majorer de (I*0,09 -82,87); I étant l'impôt non-
majoré.
Ce montant est à arrondir au multiple inférieur de 10 cents.)</t>
        </r>
      </text>
    </comment>
    <comment ref="L36" authorId="0">
      <text>
        <r>
          <rPr>
            <b/>
            <sz val="8"/>
            <rFont val="Tahoma"/>
            <family val="0"/>
          </rPr>
          <t xml:space="preserve">a.p.du.1.1.2013 
Classe 2
</t>
        </r>
      </text>
    </comment>
    <comment ref="B13" authorId="0">
      <text>
        <r>
          <rPr>
            <b/>
            <u val="single"/>
            <sz val="8"/>
            <rFont val="Tahoma"/>
            <family val="2"/>
          </rPr>
          <t>CCT 8/7/2005 article 8 B). indemnités permanance</t>
        </r>
        <r>
          <rPr>
            <b/>
            <sz val="8"/>
            <rFont val="Tahoma"/>
            <family val="0"/>
          </rPr>
          <t xml:space="preserve">
</t>
        </r>
        <r>
          <rPr>
            <sz val="8"/>
            <rFont val="Tahoma"/>
            <family val="2"/>
          </rPr>
          <t>Les salariés, devant être accessibles, toucheront les indemnités suivantes (toutes à l'indice 100) (situation:
valeur du point indiciaire au 01.01.2004):
- pour accessibilité le jour entre 8 heures et 18 heures;
§ pour le seuil 1 (accessibilité en 10 minutes) : 0,4986 EUR par heure
§ pour le seuil 2 (accessibilité en 30 minutes) : 0,3989 EUR par heure
§ pour le seuil 3 (accessibilité en 60 minutes) : 0,1995 EUR par heure
§ pour le seuil 4 (accessibilité en 240 minutes) : 0,0997 EUR par heure
- pour accessibilité la nuit entre 18 heures et 8 heures du lendemain matin un supplément de 20% est
dû qui s’ajoute à l'indemnité pour accessibilité le jour.
- pour accessibilité le dimanche entre 6 heures du dimanche matin et 6 heures du lundi matin un
supplément de 70% est dû qui s’ajoute à l'indemnité pour accessibilité le jour.
- pour accessibilité le jour férié légal entre 6 heures du matin du jour férié et 6 heures du lendemain
matin un supplément de 100% est dû qui s’ajoute à l'indemnité pour accessibilité le jour.
Les suppléments accordés sont cumulables.
En cas de changement de la valeur du point indiciaire définie à l'article 13 de la présente convention, les
taux horaires des indemnités qui précèdent, seront adaptés dans la même proportion. Les heures de
travail prestées par les salariés au cours des services de permanence donnent lieu aux suppléments
prévus dans la présente convention.</t>
        </r>
        <r>
          <rPr>
            <b/>
            <sz val="8"/>
            <rFont val="Tahoma"/>
            <family val="0"/>
          </rPr>
          <t xml:space="preserve">
Commentaire FS : la valeur du point indiciaire définie à l'article 13 de la présente convention = =2,2552*6,3626(index) = 14,3489€(10.2004)
Valeur 1hrs permS2 10.2004=2,538
Formule pour le calcule d'une heure permanance s2:
(Valeur 1hrs permS2 10.2004)*(evaluation de la valeur du point(valeur actuel/valeur10.2004))</t>
        </r>
      </text>
    </comment>
    <comment ref="B29" authorId="1">
      <text>
        <r>
          <rPr>
            <b/>
            <sz val="8"/>
            <rFont val="Tahoma"/>
            <family val="0"/>
          </rPr>
          <t xml:space="preserve">BARÈMES DE L’IMPÔT
page 6
Ministère d’État – Service Central de Législation – 2013 idem 2009 etc
</t>
        </r>
        <r>
          <rPr>
            <sz val="8"/>
            <rFont val="Tahoma"/>
            <family val="2"/>
          </rPr>
          <t xml:space="preserve"> 
1)a) Les suppléments de salaires alloués pour le travail de nuit, de dimanche et de jour férié sont exempts
d'impôt (sous certaines conditions et limites).Travail de nuit = prestation régulière de sept heures de
travail consécutives au moins, dont au minimum 3 heures se situent à l'intérieur d'un laps de temps
compris entre 22.00 heures du soir et 6.00 heures du matin.</t>
        </r>
      </text>
    </comment>
    <comment ref="E12" authorId="1">
      <text>
        <r>
          <rPr>
            <b/>
            <sz val="8"/>
            <rFont val="Tahoma"/>
            <family val="0"/>
          </rPr>
          <t>= horaire mensuel - heures congés et heures de formations etc</t>
        </r>
      </text>
    </comment>
    <comment ref="B42" authorId="1">
      <text>
        <r>
          <rPr>
            <b/>
            <sz val="8"/>
            <rFont val="Tahoma"/>
            <family val="0"/>
          </rPr>
          <t>-Seulement pour les salarié en service à la date du 1.3.2001
-A droit à l'allocation de famille: regardez CCT Article 20</t>
        </r>
      </text>
    </comment>
    <comment ref="G4" authorId="1">
      <text>
        <r>
          <rPr>
            <b/>
            <sz val="8"/>
            <rFont val="Tahoma"/>
            <family val="0"/>
          </rPr>
          <t>à partir 1.1.2009</t>
        </r>
      </text>
    </comment>
    <comment ref="B54" authorId="1">
      <text>
        <r>
          <rPr>
            <b/>
            <sz val="8"/>
            <rFont val="Tahoma"/>
            <family val="0"/>
          </rPr>
          <t>Imposable= Brut total- Suppl.Hrs D, F, N-Abattement FD-Cotisations+Contrib.Dépendance</t>
        </r>
      </text>
    </comment>
    <comment ref="F1" authorId="1">
      <text>
        <r>
          <rPr>
            <b/>
            <sz val="8"/>
            <rFont val="Tahoma"/>
            <family val="0"/>
          </rPr>
          <t>à partir 1.10.2012</t>
        </r>
      </text>
    </comment>
    <comment ref="C6" authorId="1">
      <text>
        <r>
          <rPr>
            <sz val="8"/>
            <rFont val="Tahoma"/>
            <family val="0"/>
          </rPr>
          <t>Introduise les kilométres en veillant que l'abattement FD correspont avec ton bulletin de salaire ou ta fiche d'impôt.</t>
        </r>
      </text>
    </comment>
    <comment ref="J1" authorId="0">
      <text>
        <r>
          <rPr>
            <sz val="8"/>
            <rFont val="Tahoma"/>
            <family val="0"/>
          </rPr>
          <t>Checkbox allocation de famille</t>
        </r>
      </text>
    </comment>
    <comment ref="B27" authorId="0">
      <text>
        <r>
          <rPr>
            <b/>
            <sz val="8"/>
            <rFont val="Tahoma"/>
            <family val="2"/>
          </rPr>
          <t>17 C)</t>
        </r>
        <r>
          <rPr>
            <sz val="8"/>
            <rFont val="Tahoma"/>
            <family val="2"/>
          </rPr>
          <t>. supplément pour travail de jour férié légal
Définition: Par travail de jour férié légal on entend le travail exécuté entre 6 heures du matin du jour férié
légal et 6 heures du lendemain matin (HF).
Le salarié a droit à son salaire normal conventionnel pour toute la journée. Il a droit en outre:
1) à la rémunération des heures effectivement prestées,
2) à une majoration de 100% des heures de travail sub 1).
F o r m u l e de majoration: SH x HF x 2 = Z euros
Si le jour férié légal travaillé tombe sur un dimanche, les majorations sont cumulables :
Formule de majoration : SH x HF x 2,7 = Z euros
Si les heures travaillées un jour férié légal sont compensées par un repos correspondant payé en
semaine, seul est dû le supplément de 100% sur la rémunération des heures effectivement prestées:
F o r m u l e de supplément: SH x HF x 1= Z euros
Si les heures travaillées un jour férié légal tombant sur un dimanche sont compensées par un repos
correspondant à une journée de travail payé en semaine, seul est dû le supplément de 170% sur la
rémunération des heures effectivement prestées:
F o r m u l e de supplément: SH x HF x 1,7 = Z euros
Si les heures travaillées un jour férié légal tombant sur un dimanche sont compensées par un repos
correspondant à deux journées de travail payé en semaine, seul est dû le supplément de 70% sur la
rémunération des heures effectivement prestées:
F o r m u l e de supplément: SH x HF x 0,7 = Z euros
Indépendamment de leur conversion en jours de congé conventionnels selon les stipulations de l’article
11.A).2., les jours fériés légaux travaillés donneront droit aux suppléments pour travail de jour férié légal.</t>
        </r>
      </text>
    </comment>
    <comment ref="B26" authorId="0">
      <text>
        <r>
          <rPr>
            <b/>
            <sz val="8"/>
            <rFont val="Tahoma"/>
            <family val="0"/>
          </rPr>
          <t xml:space="preserve">CCT: Article 17
 calcul des suppléments pour travail de nuit, de dimanche et de jour férié légal.
</t>
        </r>
        <r>
          <rPr>
            <b/>
            <sz val="8"/>
            <rFont val="Tahoma"/>
            <family val="2"/>
          </rPr>
          <t>17 A). définition du salaire horaire</t>
        </r>
        <r>
          <rPr>
            <sz val="8"/>
            <rFont val="Tahoma"/>
            <family val="2"/>
          </rPr>
          <t xml:space="preserve">
17 A).1. formule
Le salaire horaire est défini selon la formule suivante:
SM = Salaire mensuel de base; (cf. article 13 a) )
SF = Supplément pour allocation de famille;
IP = Indemnité pour service de permanence;
Y = Somme des 3 éléments qui précèdent
(SM+SF+IP);
DTMT = durée de travail mensuelle théorique en vigueur
Y = SH ( salaire horaire)
DTMT
17 A).2. durée de travail mensuelle théorique
La durée de travail mensuelle théorique est de 164,35 heures.
</t>
        </r>
        <r>
          <rPr>
            <b/>
            <sz val="8"/>
            <rFont val="Tahoma"/>
            <family val="2"/>
          </rPr>
          <t>17 B). supplément pour travail de dimanche</t>
        </r>
        <r>
          <rPr>
            <sz val="8"/>
            <rFont val="Tahoma"/>
            <family val="2"/>
          </rPr>
          <t xml:space="preserve">
Définition: Par travail de dimanche on entend le travail exécuté entre 6 heures du dimanche matin et 6
heures du lundi matin (HD). Le salarié a droit pour chaque heure travaillée le dimanche à son salaire
horaire conventionnel avec un supplément de 70%.
Formule de majoration: SH x HD x 1,7 = Z euros
Si les heures travaillées un dimanche sont compensées par un repos correspondant en semaine, le seul
supplément de 70% est dû:
F o r m u l e de supplément: SH x HD x 0,7 = Z euros</t>
        </r>
      </text>
    </comment>
    <comment ref="B28" authorId="0">
      <text>
        <r>
          <rPr>
            <b/>
            <sz val="8"/>
            <rFont val="Tahoma"/>
            <family val="0"/>
          </rPr>
          <t xml:space="preserve">17 D). supplément pour travail de nuit
</t>
        </r>
        <r>
          <rPr>
            <sz val="8"/>
            <rFont val="Tahoma"/>
            <family val="2"/>
          </rPr>
          <t>Définition: Le terme "nuit" s'étend de 22 heures au lendemain matin 6 heures. Des dérogations à cette
règle sont possibles en ce sens que le travail de nuit, rémunéré comme tel, peut être étendu au-delà des
heures travaillées entre 22 heures et 6 heures du lendemain matin (HN). Le salarié, a droit pour chaque
heure travaillée la nuit, à son salaire horaire conventionnel avec un supplément de 20%.
F o r m u l e de supplément: SH x HN x 0,2 = Z euros.
Remarque: Les heures travaillées la nuit d'un dimanche ou jour férié légal donnent droit au cumul des
suppléments ci-dessus.</t>
        </r>
      </text>
    </comment>
    <comment ref="B59" authorId="0">
      <text>
        <r>
          <rPr>
            <b/>
            <sz val="8"/>
            <rFont val="Tahoma"/>
            <family val="0"/>
          </rPr>
          <t>à payer seulement 1x/an au mois de mars</t>
        </r>
      </text>
    </comment>
    <comment ref="B36" authorId="1">
      <text>
        <r>
          <rPr>
            <b/>
            <sz val="8"/>
            <rFont val="Tahoma"/>
            <family val="0"/>
          </rPr>
          <t>A Partir de janvier 2012, les 190 heures de congé légaux(25 jours) et les 76 heures de congé conventionnels(10 jours) sont payées de la même façon: Salaire de base + 25/35 de la moyenne suppléments des 3 derniers mois.
Pour definir le taux salarial, tu dois remplir le tableau en bas.</t>
        </r>
      </text>
    </comment>
    <comment ref="C34" authorId="0">
      <text>
        <r>
          <rPr>
            <sz val="8"/>
            <rFont val="Tahoma"/>
            <family val="0"/>
          </rPr>
          <t>Pour le calcul de ta rénumeration d'une heure de maladie ou de congé, les salaires des 3 derniérs mois sont tenus en compte. Dans une tabelle en bas de ce formulaire tu peux la recalculer. Si le calcul n'est pas possible, tu peux introduire la rénumeration de ton bulletin de salaire ici.</t>
        </r>
      </text>
    </comment>
    <comment ref="E1" authorId="0">
      <text>
        <r>
          <rPr>
            <b/>
            <sz val="8"/>
            <rFont val="Tahoma"/>
            <family val="0"/>
          </rPr>
          <t xml:space="preserve"> Paramètres pour calculer la rémunération
</t>
        </r>
        <r>
          <rPr>
            <sz val="8"/>
            <rFont val="Tahoma"/>
            <family val="2"/>
          </rPr>
          <t xml:space="preserve">
Les traitements, indemnités et salaires sont exprimés en points indiciaires.
La valeur annuelle de 100 points indiciaires est fixée par la loi modifiée du 22 juin 1963
 portant fixation de la valeur numérique des traitements des fonctionnaires de l'Etat,
valeur correspondant actuellement à 2647,94 euros pour les éléments non-pensionnables de la rémunération.
Par ailleurs, l'article 11 de la loi modifiée du 22 juin 1963 fixant le régime des traitements des fonctionnaires de l'Etat
 prévoit une adaptation périodique aux variations du coût de la vie. 
L'indice actuel du coût de la vie est de 756,27 (à partir du 1.10.2012).
La valeur mensuelle actuelle d'un point indiciaire, adaptée à l'indice du coût de la vie, correspond donc à
    2796,42 :100 : 12 x 7,5627 = 17,6237379 euros (éléments pensionnables)
    2647,94 :100 : 12 x 7,5627 = 16,6879798 euros (éléments non-pens.)</t>
        </r>
        <r>
          <rPr>
            <b/>
            <sz val="8"/>
            <rFont val="Tahoma"/>
            <family val="0"/>
          </rPr>
          <t xml:space="preserve">
</t>
        </r>
      </text>
    </comment>
    <comment ref="B61" authorId="0">
      <text>
        <r>
          <rPr>
            <b/>
            <sz val="8"/>
            <rFont val="Tahoma"/>
            <family val="0"/>
          </rPr>
          <t>CCT 2005, Annexe 1</t>
        </r>
        <r>
          <rPr>
            <sz val="8"/>
            <rFont val="Tahoma"/>
            <family val="0"/>
          </rPr>
          <t xml:space="preserve">
</t>
        </r>
      </text>
    </comment>
    <comment ref="E9" authorId="0">
      <text>
        <r>
          <rPr>
            <b/>
            <sz val="8"/>
            <rFont val="Tahoma"/>
            <family val="0"/>
          </rPr>
          <t xml:space="preserve">Horaire mensuel est
</t>
        </r>
        <r>
          <rPr>
            <sz val="8"/>
            <rFont val="Tahoma"/>
            <family val="2"/>
          </rPr>
          <t>-pareil pour chaque mois
-calcul: 365,25 -samedis -dimanches -jours feriés, le tout divisé par 12 et multiplié par le nombre des heures à travailler par jour (7,6)
-depuis le 1.1.2000 l'horaire mensuel est fixé à 164,35 heures</t>
        </r>
      </text>
    </comment>
    <comment ref="AK6" authorId="0">
      <text>
        <r>
          <rPr>
            <sz val="8"/>
            <rFont val="Tahoma"/>
            <family val="0"/>
          </rPr>
          <t xml:space="preserve">à partir du 1.1.2013
</t>
        </r>
      </text>
    </comment>
  </commentList>
</comments>
</file>

<file path=xl/sharedStrings.xml><?xml version="1.0" encoding="utf-8"?>
<sst xmlns="http://schemas.openxmlformats.org/spreadsheetml/2006/main" count="302" uniqueCount="236">
  <si>
    <t>- 12 -</t>
  </si>
  <si>
    <t>2.2. Formules générales de la retenue sur salaire mensuel</t>
  </si>
  <si>
    <t>a</t>
  </si>
  <si>
    <t>b</t>
  </si>
  <si>
    <t>Echelon de R'</t>
  </si>
  <si>
    <t>générales est à arrondir au multiple inférieur de 10 cents</t>
  </si>
  <si>
    <t>avant d'être majoré de 2,5%, (ce montant est</t>
  </si>
  <si>
    <t>à arrondir au multiple inférieur de 10 cents).</t>
  </si>
  <si>
    <t xml:space="preserve">L'impôt déterminé à l'aide des formules </t>
  </si>
  <si>
    <t>Imposable 108.5 :</t>
  </si>
  <si>
    <t>Enfants:</t>
  </si>
  <si>
    <t>Modération d' impôt pour chaque enfant:</t>
  </si>
  <si>
    <t>a R' - b</t>
  </si>
  <si>
    <t>Impôt &lt; 1 euro =0</t>
  </si>
  <si>
    <t>test</t>
  </si>
  <si>
    <t>R'   (=Rp)</t>
  </si>
  <si>
    <t>Classe d' impôt :</t>
  </si>
  <si>
    <t>Die Beamten der Gesundheitsberufe</t>
  </si>
  <si>
    <t>Dienstalter</t>
  </si>
  <si>
    <t>Punkte</t>
  </si>
  <si>
    <t>ES 1.0</t>
  </si>
  <si>
    <t>ES 2.0</t>
  </si>
  <si>
    <t>ES 3.0</t>
  </si>
  <si>
    <t>ES 4.0</t>
  </si>
  <si>
    <t>ES 5.0</t>
  </si>
  <si>
    <t>EA 1.0</t>
  </si>
  <si>
    <t>EA 2.0</t>
  </si>
  <si>
    <t>EA 2.1</t>
  </si>
  <si>
    <t>EA 3.0</t>
  </si>
  <si>
    <t>EA 3.1</t>
  </si>
  <si>
    <t>EA 4.0</t>
  </si>
  <si>
    <t>EA 5.0</t>
  </si>
  <si>
    <t>Die Arbeiter</t>
  </si>
  <si>
    <t>ou 1.0</t>
  </si>
  <si>
    <t>OU 2.0</t>
  </si>
  <si>
    <t>OU 3.0</t>
  </si>
  <si>
    <t>OU 4.0</t>
  </si>
  <si>
    <t>Die administrativen Beamten</t>
  </si>
  <si>
    <t>Beginn:</t>
  </si>
  <si>
    <t>berechnungsmonat:</t>
  </si>
  <si>
    <t>OU 1.0</t>
  </si>
  <si>
    <t>Chauffeur</t>
  </si>
  <si>
    <t>Primes</t>
  </si>
  <si>
    <t>Cotisations</t>
  </si>
  <si>
    <t>Nom:</t>
  </si>
  <si>
    <t>Fonction:</t>
  </si>
  <si>
    <t>Debut de travail,            année:</t>
  </si>
  <si>
    <t xml:space="preserve">                                               mois:</t>
  </si>
  <si>
    <t>Steuerklassen</t>
  </si>
  <si>
    <t xml:space="preserve">                                                   mois:</t>
  </si>
  <si>
    <t>Temps de Référence ,    année:</t>
  </si>
  <si>
    <t>Indice:</t>
  </si>
  <si>
    <t>Points:</t>
  </si>
  <si>
    <t>Valeur Point :</t>
  </si>
  <si>
    <t>Taux d'Occupation:</t>
  </si>
  <si>
    <t>1ier mois précédent</t>
  </si>
  <si>
    <t>2 iéme mois précédent</t>
  </si>
  <si>
    <t>Période</t>
  </si>
  <si>
    <t>Supp DFN</t>
  </si>
  <si>
    <t>Supp HS</t>
  </si>
  <si>
    <t>Permanence</t>
  </si>
  <si>
    <t>S(p)</t>
  </si>
  <si>
    <t>Sm100</t>
  </si>
  <si>
    <t>Sm</t>
  </si>
  <si>
    <t>3 iéme mois précédent</t>
  </si>
  <si>
    <t>Tb</t>
  </si>
  <si>
    <t>une heure congé calculé</t>
  </si>
  <si>
    <t>salaire social minimum</t>
  </si>
  <si>
    <t xml:space="preserve">             Déduction FD :</t>
  </si>
  <si>
    <t>Kilométres :</t>
  </si>
  <si>
    <t>Fahrtkosten Mintestbetrag (0-4km):</t>
  </si>
  <si>
    <t>Betrag pro km zwischen 4 - 30km :</t>
  </si>
  <si>
    <t>Fahrtkosten ( FD ):</t>
  </si>
  <si>
    <t xml:space="preserve">Classe Impôt  : </t>
  </si>
  <si>
    <t>Classe:</t>
  </si>
  <si>
    <t>enfants:</t>
  </si>
  <si>
    <t>1 Formule de base (classe 1):</t>
  </si>
  <si>
    <t>4 Formule  (classe 2):</t>
  </si>
  <si>
    <t>zu zahlen:</t>
  </si>
  <si>
    <t>22% ci 2</t>
  </si>
  <si>
    <t>18% ci 21</t>
  </si>
  <si>
    <t>38% ci 1</t>
  </si>
  <si>
    <t>36% ci 1a</t>
  </si>
  <si>
    <t>34% ci 1a1</t>
  </si>
  <si>
    <t>0%   ci 22</t>
  </si>
  <si>
    <t>classe2</t>
  </si>
  <si>
    <t>classe1</t>
  </si>
  <si>
    <t>(-)enfants</t>
  </si>
  <si>
    <t>Chef (15,30, 45, 60)</t>
  </si>
  <si>
    <t>IMPOT:</t>
  </si>
  <si>
    <t>salaire social minimum index 100:</t>
  </si>
  <si>
    <t>Rp classe1</t>
  </si>
  <si>
    <t>Rp classe1a</t>
  </si>
  <si>
    <t>Rp classe 2</t>
  </si>
  <si>
    <t>f12</t>
  </si>
  <si>
    <t>Valeur Point indice 100 :</t>
  </si>
  <si>
    <t>ANLAGELLOHNTABELLE seit 1.1.93</t>
  </si>
  <si>
    <t>1a</t>
  </si>
  <si>
    <t>2 Formule  (classe 1a)(R&lt;=2945)</t>
  </si>
  <si>
    <t>3 Formule  (classe 1a)(R&gt;=2945)</t>
  </si>
  <si>
    <t>Credit d'impôt salarié</t>
  </si>
  <si>
    <t>Chambre des Salaries(31€)</t>
  </si>
  <si>
    <t>aide-soignant</t>
  </si>
  <si>
    <t>infirmier</t>
  </si>
  <si>
    <t>assistant technique médical de radiologie</t>
  </si>
  <si>
    <t>assistant technique médical de laboratoire</t>
  </si>
  <si>
    <t>éducateur diplômé</t>
  </si>
  <si>
    <t>infirmier psychiatrique</t>
  </si>
  <si>
    <t>infirmier en pédiatrie</t>
  </si>
  <si>
    <t>infirmier-anesthésiste</t>
  </si>
  <si>
    <t>assistant technique médical de chirurgie</t>
  </si>
  <si>
    <t>masseur</t>
  </si>
  <si>
    <t>sage-femme</t>
  </si>
  <si>
    <t>éducateur-gradué diplômé</t>
  </si>
  <si>
    <t>infirmier hospitalier gradué</t>
  </si>
  <si>
    <t>laborantin</t>
  </si>
  <si>
    <t>diététicien</t>
  </si>
  <si>
    <t>ergothérapeute</t>
  </si>
  <si>
    <t>psychomotricien</t>
  </si>
  <si>
    <t>assistant d’hygiène sociale,assistant social</t>
  </si>
  <si>
    <t>orthophoniste</t>
  </si>
  <si>
    <t>kinésithérapeute</t>
  </si>
  <si>
    <t>carrière A, employé sans diplôme</t>
  </si>
  <si>
    <t>carrière B,empl. avec une quali. inf. groupe B1</t>
  </si>
  <si>
    <t>carrière B1, empl. ayant réussi la 5e secondaire</t>
  </si>
  <si>
    <t>B1,  9e sec. technique+expérience prof 2ans</t>
  </si>
  <si>
    <t>employé détenteur d'un CATP ou CAP</t>
  </si>
  <si>
    <t>C,détenteur d'un CATP ou CAP</t>
  </si>
  <si>
    <t>employé ayant réussi la classe de 3e secondaire</t>
  </si>
  <si>
    <t>réussi 5 années secondaire technique</t>
  </si>
  <si>
    <t>C1, technicien ,artisan avec brevet de maîtrise</t>
  </si>
  <si>
    <t>D,détenteur du certificat fin d'études secondaires</t>
  </si>
  <si>
    <t>D,certificat de fin d'études secondaires techniques</t>
  </si>
  <si>
    <t>D,ingénieur technicien</t>
  </si>
  <si>
    <t>E,post secondaire Bac +2 et Bac +3</t>
  </si>
  <si>
    <t>A,ouvrier auxiliaire</t>
  </si>
  <si>
    <t>B,ouvrier</t>
  </si>
  <si>
    <t>C,aide socio-familiale</t>
  </si>
  <si>
    <t>C,non-diplômés chargés de travaux artisanaux</t>
  </si>
  <si>
    <t>D,artisan détenteur d’un CCM ou CITP</t>
  </si>
  <si>
    <t>à partir 1.1.2013</t>
  </si>
  <si>
    <t>Pierre Dupont</t>
  </si>
  <si>
    <t>TARIF DE BASE 1-2013</t>
  </si>
  <si>
    <t xml:space="preserve">classe1a R&lt;=3020 </t>
  </si>
  <si>
    <t>classe1a R&gt;=3020</t>
  </si>
  <si>
    <t>a ( R+ 85 ) - 2b</t>
  </si>
  <si>
    <t>0.4 R - 938,7</t>
  </si>
  <si>
    <t>a ( 1.5 R - 1920 ) - b</t>
  </si>
  <si>
    <t>R' =R/2 + 42,5</t>
  </si>
  <si>
    <r>
      <t xml:space="preserve">Suppl.Hrs Dimanche 70 % </t>
    </r>
    <r>
      <rPr>
        <b/>
        <sz val="10"/>
        <rFont val="Helv"/>
        <family val="0"/>
      </rPr>
      <t>Im</t>
    </r>
    <r>
      <rPr>
        <sz val="10"/>
        <rFont val="Helv"/>
        <family val="0"/>
      </rPr>
      <t>posable</t>
    </r>
  </si>
  <si>
    <r>
      <t xml:space="preserve">Suppl.Hrs Ferie 100 % </t>
    </r>
    <r>
      <rPr>
        <b/>
        <sz val="10"/>
        <rFont val="Helv"/>
        <family val="0"/>
      </rPr>
      <t>Im</t>
    </r>
    <r>
      <rPr>
        <sz val="10"/>
        <rFont val="Helv"/>
        <family val="0"/>
      </rPr>
      <t>posable</t>
    </r>
  </si>
  <si>
    <r>
      <t xml:space="preserve">Suppl.Hrs Nuit 20 % </t>
    </r>
    <r>
      <rPr>
        <b/>
        <sz val="10"/>
        <rFont val="Helv"/>
        <family val="0"/>
      </rPr>
      <t>Im</t>
    </r>
    <r>
      <rPr>
        <sz val="10"/>
        <rFont val="Helv"/>
        <family val="0"/>
      </rPr>
      <t>posable</t>
    </r>
  </si>
  <si>
    <t>Suppl.Hrs Dimanche 70 %</t>
  </si>
  <si>
    <t>Suppl.Hrs Ferie 100 %</t>
  </si>
  <si>
    <t>Suppl.Hrs Nuit 20 %</t>
  </si>
  <si>
    <t>Rémunérat de base</t>
  </si>
  <si>
    <t>Habillement( 22.53 €)</t>
  </si>
  <si>
    <t>Brut total</t>
  </si>
  <si>
    <t xml:space="preserve">Net total </t>
  </si>
  <si>
    <t>NET A PAYER</t>
  </si>
  <si>
    <t>Horaire mensuel</t>
  </si>
  <si>
    <t>Rubriques</t>
  </si>
  <si>
    <t>Nombre ou base</t>
  </si>
  <si>
    <t>Taux salarial</t>
  </si>
  <si>
    <t>Montants</t>
  </si>
  <si>
    <t>Service.Perm.Dim.S2 70 % 30min</t>
  </si>
  <si>
    <t>Service.Perm.J.F.S2  100 % 30min</t>
  </si>
  <si>
    <t>Service.Perm.Nuit S1 20 % 10min</t>
  </si>
  <si>
    <t>Service.Perm.Dim.S1 70 % 10min</t>
  </si>
  <si>
    <t>A10</t>
  </si>
  <si>
    <t>A11</t>
  </si>
  <si>
    <t>A12</t>
  </si>
  <si>
    <t>A13</t>
  </si>
  <si>
    <t>A14</t>
  </si>
  <si>
    <t>A15</t>
  </si>
  <si>
    <t>A16</t>
  </si>
  <si>
    <t>A24</t>
  </si>
  <si>
    <t>A25</t>
  </si>
  <si>
    <t>A26</t>
  </si>
  <si>
    <t>A34</t>
  </si>
  <si>
    <t>A35</t>
  </si>
  <si>
    <t>A36</t>
  </si>
  <si>
    <t>SD2</t>
  </si>
  <si>
    <t>SF3</t>
  </si>
  <si>
    <t>SN1</t>
  </si>
  <si>
    <t>Service.Perm.Seuil 1 10 min (*1.25)</t>
  </si>
  <si>
    <t>Service.Perm.Seuil 2 30 min (*1  )</t>
  </si>
  <si>
    <t>Service.Perm.Seuil 3 60 min (*0.5 )</t>
  </si>
  <si>
    <t>Service.Perm.Seuil 4 240 min (*0.25)</t>
  </si>
  <si>
    <t>Service.Perm.J.F..S1 100 % 10min</t>
  </si>
  <si>
    <t>Service.Perm.Nuit S2 20 % 30min</t>
  </si>
  <si>
    <t>Service.Perm.Nuit S3 20 % 60min</t>
  </si>
  <si>
    <t>Service.Perm.Dim.S3 70 % 60min</t>
  </si>
  <si>
    <t>Service.Perm.J.F.S3 100 % 60min</t>
  </si>
  <si>
    <t>LDH</t>
  </si>
  <si>
    <t>Maladie Soins</t>
  </si>
  <si>
    <t>LDJ</t>
  </si>
  <si>
    <t>Maladie Espèces</t>
  </si>
  <si>
    <t>Cotis. pension</t>
  </si>
  <si>
    <t>Tabelle pour le calcul des congés, resp. du congé de maladie</t>
  </si>
  <si>
    <t>LCB</t>
  </si>
  <si>
    <t>Allocation Famille (25-29 )</t>
  </si>
  <si>
    <t>CA5</t>
  </si>
  <si>
    <t>ALB</t>
  </si>
  <si>
    <t>LCQ</t>
  </si>
  <si>
    <t>Contrib.Dépendance</t>
  </si>
  <si>
    <t>EFD</t>
  </si>
  <si>
    <t>Abattement FD</t>
  </si>
  <si>
    <t>LIM</t>
  </si>
  <si>
    <t>LIV</t>
  </si>
  <si>
    <t>Impôt mensuel</t>
  </si>
  <si>
    <t>Impos.périodique</t>
  </si>
  <si>
    <t>ALN</t>
  </si>
  <si>
    <t>AVO</t>
  </si>
  <si>
    <t>Avance</t>
  </si>
  <si>
    <t>CIS</t>
  </si>
  <si>
    <t xml:space="preserve">Maladie </t>
  </si>
  <si>
    <t>L90</t>
  </si>
  <si>
    <t>L87</t>
  </si>
  <si>
    <t>L92</t>
  </si>
  <si>
    <t>Réunion Interne</t>
  </si>
  <si>
    <t>Formation interne</t>
  </si>
  <si>
    <t>L89</t>
  </si>
  <si>
    <t>Formation externe</t>
  </si>
  <si>
    <t>SN2</t>
  </si>
  <si>
    <t>SD</t>
  </si>
  <si>
    <t>SF</t>
  </si>
  <si>
    <t>xxx</t>
  </si>
  <si>
    <t>x</t>
  </si>
  <si>
    <t>xx</t>
  </si>
  <si>
    <t>LNV</t>
  </si>
  <si>
    <t>L98</t>
  </si>
  <si>
    <t>Congés</t>
  </si>
  <si>
    <t>€/hr estimé:</t>
  </si>
  <si>
    <t>une heure maladie calculé</t>
  </si>
  <si>
    <t>Deduction net</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</si>
</sst>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quot;€&quot;\ #,##0;&quot;€&quot;\ \-#,##0"/>
    <numFmt numFmtId="175" formatCode="&quot;€&quot;\ #,##0;[Red]&quot;€&quot;\ \-#,##0"/>
    <numFmt numFmtId="176" formatCode="&quot;€&quot;\ #,##0.00;&quot;€&quot;\ \-#,##0.00"/>
    <numFmt numFmtId="177" formatCode="&quot;€&quot;\ #,##0.00;[Red]&quot;€&quot;\ \-#,##0.00"/>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h:mm"/>
    <numFmt numFmtId="183" formatCode="h:mm:ss"/>
    <numFmt numFmtId="184" formatCode="m/d/yy\ h:mm"/>
    <numFmt numFmtId="185" formatCode="0.000"/>
    <numFmt numFmtId="186" formatCode="0.0000"/>
    <numFmt numFmtId="187" formatCode="0.00000"/>
    <numFmt numFmtId="188" formatCode="\$* #\,##0.00;[Red]\ \(\$* #\,##0.00\)"/>
    <numFmt numFmtId="189" formatCode="\+0.00;\ \-0.00"/>
    <numFmt numFmtId="190" formatCode="_-* #,##0.00\ [$€-1]_-;\-* #,##0.00\ [$€-1]_-;_-* &quot;-&quot;??\ [$€-1]_-;_-@_-"/>
    <numFmt numFmtId="191" formatCode="_-[$€-2]\ * #,##0.00_-;\-[$€-2]\ * #,##0.00_-;_-[$€-2]\ * &quot;-&quot;??_-;_-@_-"/>
    <numFmt numFmtId="192" formatCode="&quot;Yes&quot;;&quot;Yes&quot;;&quot;No&quot;"/>
    <numFmt numFmtId="193" formatCode="&quot;True&quot;;&quot;True&quot;;&quot;False&quot;"/>
    <numFmt numFmtId="194" formatCode="&quot;On&quot;;&quot;On&quot;;&quot;Off&quot;"/>
    <numFmt numFmtId="195" formatCode="00000"/>
    <numFmt numFmtId="196" formatCode="0;\-0;;@"/>
    <numFmt numFmtId="197" formatCode="0.0000%"/>
    <numFmt numFmtId="198" formatCode="[$€-2]\ #,##0.00;[Red]\-[$€-2]\ #,##0.00"/>
    <numFmt numFmtId="199" formatCode="&quot;Ja&quot;;&quot;Ja&quot;;&quot;Nein&quot;"/>
    <numFmt numFmtId="200" formatCode="&quot;Wahr&quot;;&quot;Wahr&quot;;&quot;Falsch&quot;"/>
    <numFmt numFmtId="201" formatCode="&quot;Ein&quot;;&quot;Ein&quot;;&quot;Aus&quot;"/>
    <numFmt numFmtId="202" formatCode="[$€-2]\ #,##0.00_);[Red]\([$€-2]\ #,##0.00\)"/>
  </numFmts>
  <fonts count="55">
    <font>
      <sz val="10"/>
      <name val="Helv"/>
      <family val="0"/>
    </font>
    <font>
      <b/>
      <sz val="10"/>
      <name val="Helv"/>
      <family val="0"/>
    </font>
    <font>
      <i/>
      <sz val="10"/>
      <name val="Helv"/>
      <family val="0"/>
    </font>
    <font>
      <u val="single"/>
      <sz val="10"/>
      <name val="Helv"/>
      <family val="0"/>
    </font>
    <font>
      <b/>
      <u val="single"/>
      <sz val="10"/>
      <name val="Helv"/>
      <family val="0"/>
    </font>
    <font>
      <sz val="8"/>
      <name val="Tahoma"/>
      <family val="2"/>
    </font>
    <font>
      <sz val="12"/>
      <name val="Helv"/>
      <family val="0"/>
    </font>
    <font>
      <sz val="10"/>
      <color indexed="10"/>
      <name val="Helv"/>
      <family val="0"/>
    </font>
    <font>
      <b/>
      <sz val="8"/>
      <name val="Tahoma"/>
      <family val="0"/>
    </font>
    <font>
      <b/>
      <sz val="10"/>
      <color indexed="9"/>
      <name val="Helv"/>
      <family val="0"/>
    </font>
    <font>
      <b/>
      <sz val="7"/>
      <color indexed="9"/>
      <name val="Helv"/>
      <family val="0"/>
    </font>
    <font>
      <sz val="7"/>
      <name val="Helv"/>
      <family val="0"/>
    </font>
    <font>
      <b/>
      <u val="single"/>
      <sz val="8"/>
      <name val="Tahoma"/>
      <family val="2"/>
    </font>
    <font>
      <sz val="10"/>
      <color indexed="41"/>
      <name val="Helv"/>
      <family val="0"/>
    </font>
    <font>
      <sz val="9"/>
      <name val="Helv"/>
      <family val="0"/>
    </font>
    <font>
      <sz val="10"/>
      <color indexed="22"/>
      <name val="Helv"/>
      <family val="0"/>
    </font>
    <font>
      <u val="single"/>
      <sz val="10"/>
      <color indexed="12"/>
      <name val="Helv"/>
      <family val="0"/>
    </font>
    <font>
      <u val="single"/>
      <sz val="8"/>
      <color indexed="12"/>
      <name val="Helv"/>
      <family val="0"/>
    </font>
    <font>
      <u val="single"/>
      <sz val="10"/>
      <color indexed="36"/>
      <name val="Helv"/>
      <family val="0"/>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Helv"/>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
      <patternFill patternType="solid">
        <fgColor indexed="50"/>
        <bgColor indexed="64"/>
      </patternFill>
    </fill>
    <fill>
      <patternFill patternType="solid">
        <fgColor indexed="8"/>
        <bgColor indexed="64"/>
      </patternFill>
    </fill>
    <fill>
      <patternFill patternType="solid">
        <fgColor indexed="42"/>
        <bgColor indexed="64"/>
      </patternFill>
    </fill>
    <fill>
      <patternFill patternType="solid">
        <fgColor indexed="15"/>
        <bgColor indexed="64"/>
      </patternFill>
    </fill>
    <fill>
      <patternFill patternType="solid">
        <fgColor indexed="39"/>
        <bgColor indexed="64"/>
      </patternFill>
    </fill>
    <fill>
      <patternFill patternType="solid">
        <fgColor indexed="47"/>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style="thick"/>
    </border>
    <border>
      <left style="thick"/>
      <right>
        <color indexed="63"/>
      </right>
      <top>
        <color indexed="63"/>
      </top>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18" fillId="0" borderId="0" applyNumberForma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32" borderId="9" applyNumberFormat="0" applyAlignment="0" applyProtection="0"/>
  </cellStyleXfs>
  <cellXfs count="147">
    <xf numFmtId="0" fontId="0" fillId="0" borderId="0" xfId="0" applyAlignment="1">
      <alignment/>
    </xf>
    <xf numFmtId="0" fontId="0" fillId="0" borderId="0" xfId="0" applyNumberFormat="1" applyAlignment="1">
      <alignment horizontal="left"/>
    </xf>
    <xf numFmtId="0" fontId="1" fillId="0" borderId="0" xfId="0" applyNumberFormat="1" applyFont="1" applyAlignment="1">
      <alignment horizontal="left"/>
    </xf>
    <xf numFmtId="11" fontId="1" fillId="0" borderId="0" xfId="0" applyNumberFormat="1" applyFont="1" applyAlignment="1">
      <alignment horizontal="right"/>
    </xf>
    <xf numFmtId="0" fontId="0" fillId="0" borderId="0" xfId="0" applyNumberFormat="1" applyAlignment="1">
      <alignment horizontal="right"/>
    </xf>
    <xf numFmtId="0" fontId="1" fillId="0" borderId="0" xfId="0" applyFont="1" applyAlignment="1">
      <alignment/>
    </xf>
    <xf numFmtId="191" fontId="1" fillId="0" borderId="0" xfId="0" applyNumberFormat="1" applyFont="1" applyAlignment="1">
      <alignment horizontal="right"/>
    </xf>
    <xf numFmtId="191" fontId="1" fillId="0" borderId="0" xfId="0" applyNumberFormat="1" applyFont="1" applyAlignment="1">
      <alignment horizontal="left"/>
    </xf>
    <xf numFmtId="0" fontId="1" fillId="0" borderId="0" xfId="0" applyNumberFormat="1" applyFont="1" applyAlignment="1">
      <alignment horizontal="right"/>
    </xf>
    <xf numFmtId="3" fontId="1" fillId="0" borderId="0" xfId="0" applyNumberFormat="1" applyFont="1" applyAlignment="1">
      <alignment horizontal="right"/>
    </xf>
    <xf numFmtId="191" fontId="1" fillId="0" borderId="0" xfId="0" applyNumberFormat="1" applyFont="1" applyAlignment="1">
      <alignment/>
    </xf>
    <xf numFmtId="2" fontId="1" fillId="0" borderId="0" xfId="0" applyNumberFormat="1" applyFont="1" applyAlignment="1">
      <alignment horizontal="right"/>
    </xf>
    <xf numFmtId="0" fontId="4" fillId="0" borderId="0" xfId="0" applyNumberFormat="1" applyFont="1" applyAlignment="1">
      <alignment horizontal="left"/>
    </xf>
    <xf numFmtId="191" fontId="0" fillId="0" borderId="0" xfId="0" applyNumberFormat="1" applyAlignment="1">
      <alignment/>
    </xf>
    <xf numFmtId="0" fontId="0" fillId="33" borderId="0" xfId="0" applyNumberFormat="1" applyFill="1" applyAlignment="1">
      <alignment horizontal="left"/>
    </xf>
    <xf numFmtId="0" fontId="0" fillId="33" borderId="0" xfId="0" applyFill="1" applyAlignment="1">
      <alignment/>
    </xf>
    <xf numFmtId="191" fontId="0" fillId="33" borderId="0" xfId="0" applyNumberFormat="1" applyFill="1" applyAlignment="1">
      <alignment/>
    </xf>
    <xf numFmtId="10" fontId="0" fillId="0" borderId="0" xfId="0" applyNumberFormat="1" applyAlignment="1">
      <alignment/>
    </xf>
    <xf numFmtId="0" fontId="1" fillId="0" borderId="0" xfId="0" applyFont="1" applyAlignment="1" quotePrefix="1">
      <alignment/>
    </xf>
    <xf numFmtId="0" fontId="1" fillId="34" borderId="0" xfId="0" applyFont="1" applyFill="1" applyAlignment="1">
      <alignment/>
    </xf>
    <xf numFmtId="0" fontId="0" fillId="0" borderId="0" xfId="0" applyAlignment="1">
      <alignment horizontal="left"/>
    </xf>
    <xf numFmtId="0" fontId="0" fillId="0" borderId="0" xfId="0" applyFont="1" applyAlignment="1">
      <alignment horizontal="left"/>
    </xf>
    <xf numFmtId="0" fontId="0" fillId="35" borderId="0" xfId="0" applyFill="1" applyAlignment="1">
      <alignment/>
    </xf>
    <xf numFmtId="0" fontId="0" fillId="36" borderId="0" xfId="0" applyFill="1" applyAlignment="1">
      <alignment/>
    </xf>
    <xf numFmtId="9" fontId="0" fillId="33" borderId="0" xfId="0" applyNumberFormat="1" applyFill="1" applyAlignment="1">
      <alignment/>
    </xf>
    <xf numFmtId="0" fontId="0" fillId="0" borderId="0" xfId="0" applyBorder="1" applyAlignment="1">
      <alignment/>
    </xf>
    <xf numFmtId="0" fontId="0" fillId="37" borderId="0" xfId="0" applyFill="1" applyAlignment="1">
      <alignment/>
    </xf>
    <xf numFmtId="0" fontId="7" fillId="38" borderId="0" xfId="0" applyFont="1" applyFill="1" applyAlignment="1">
      <alignment/>
    </xf>
    <xf numFmtId="191" fontId="0" fillId="33" borderId="10" xfId="0" applyNumberFormat="1" applyFill="1" applyBorder="1" applyAlignment="1">
      <alignment/>
    </xf>
    <xf numFmtId="0" fontId="0" fillId="33" borderId="11" xfId="0" applyFill="1" applyBorder="1" applyAlignment="1">
      <alignment/>
    </xf>
    <xf numFmtId="191" fontId="0" fillId="33" borderId="11" xfId="0" applyNumberFormat="1" applyFill="1" applyBorder="1" applyAlignment="1">
      <alignment/>
    </xf>
    <xf numFmtId="191" fontId="0" fillId="36" borderId="12" xfId="0" applyNumberFormat="1" applyFill="1" applyBorder="1" applyAlignment="1">
      <alignment/>
    </xf>
    <xf numFmtId="0" fontId="0" fillId="0" borderId="13" xfId="0" applyBorder="1" applyAlignment="1">
      <alignment/>
    </xf>
    <xf numFmtId="0" fontId="0" fillId="0" borderId="0" xfId="0" applyAlignment="1">
      <alignment horizontal="right"/>
    </xf>
    <xf numFmtId="0" fontId="0" fillId="0" borderId="0" xfId="0" applyFill="1" applyAlignment="1">
      <alignment/>
    </xf>
    <xf numFmtId="0" fontId="0" fillId="33" borderId="10" xfId="0" applyFill="1" applyBorder="1" applyAlignment="1">
      <alignment/>
    </xf>
    <xf numFmtId="0" fontId="0" fillId="39" borderId="0" xfId="0" applyFill="1" applyAlignment="1">
      <alignment/>
    </xf>
    <xf numFmtId="0" fontId="0" fillId="34" borderId="0" xfId="0" applyFill="1" applyAlignment="1">
      <alignment/>
    </xf>
    <xf numFmtId="0" fontId="0" fillId="34" borderId="0" xfId="0" applyNumberFormat="1" applyFill="1" applyAlignment="1">
      <alignment horizontal="left"/>
    </xf>
    <xf numFmtId="0" fontId="0" fillId="34" borderId="0" xfId="0" applyFill="1" applyAlignment="1" applyProtection="1">
      <alignment/>
      <protection locked="0"/>
    </xf>
    <xf numFmtId="0" fontId="0" fillId="34" borderId="0" xfId="0" applyNumberFormat="1" applyFill="1" applyAlignment="1" applyProtection="1">
      <alignment/>
      <protection locked="0"/>
    </xf>
    <xf numFmtId="3" fontId="0" fillId="34" borderId="0" xfId="0" applyNumberFormat="1" applyFill="1" applyAlignment="1" applyProtection="1">
      <alignment horizontal="right"/>
      <protection locked="0"/>
    </xf>
    <xf numFmtId="0" fontId="0" fillId="34" borderId="0" xfId="0" applyNumberFormat="1" applyFill="1" applyAlignment="1" applyProtection="1">
      <alignment horizontal="right"/>
      <protection locked="0"/>
    </xf>
    <xf numFmtId="0" fontId="0" fillId="34" borderId="0" xfId="0" applyNumberFormat="1" applyFill="1" applyAlignment="1" applyProtection="1">
      <alignment horizontal="left"/>
      <protection locked="0"/>
    </xf>
    <xf numFmtId="0" fontId="0" fillId="34" borderId="0" xfId="0" applyNumberFormat="1" applyFont="1" applyFill="1" applyAlignment="1">
      <alignment horizontal="left"/>
    </xf>
    <xf numFmtId="0" fontId="0" fillId="34" borderId="0" xfId="0" applyNumberFormat="1" applyFill="1" applyAlignment="1">
      <alignment horizontal="right"/>
    </xf>
    <xf numFmtId="3" fontId="0" fillId="34" borderId="0" xfId="0" applyNumberFormat="1" applyFill="1" applyAlignment="1">
      <alignment horizontal="right"/>
    </xf>
    <xf numFmtId="0" fontId="1" fillId="34" borderId="0" xfId="0" applyNumberFormat="1" applyFont="1" applyFill="1" applyAlignment="1">
      <alignment horizontal="left"/>
    </xf>
    <xf numFmtId="10" fontId="0" fillId="34" borderId="0" xfId="0" applyNumberFormat="1" applyFill="1" applyAlignment="1">
      <alignment/>
    </xf>
    <xf numFmtId="0" fontId="0" fillId="34" borderId="0" xfId="0" applyFill="1" applyBorder="1" applyAlignment="1">
      <alignment/>
    </xf>
    <xf numFmtId="10" fontId="0" fillId="34" borderId="0" xfId="0" applyNumberFormat="1" applyFill="1" applyAlignment="1">
      <alignment horizontal="right"/>
    </xf>
    <xf numFmtId="191" fontId="0" fillId="34" borderId="0" xfId="0" applyNumberFormat="1" applyFill="1" applyAlignment="1">
      <alignment/>
    </xf>
    <xf numFmtId="2" fontId="0" fillId="34" borderId="0" xfId="0" applyNumberFormat="1" applyFill="1" applyAlignment="1">
      <alignment horizontal="right"/>
    </xf>
    <xf numFmtId="2" fontId="0" fillId="34" borderId="0" xfId="0" applyNumberFormat="1" applyFill="1" applyAlignment="1" quotePrefix="1">
      <alignment horizontal="right"/>
    </xf>
    <xf numFmtId="0" fontId="0" fillId="0" borderId="0" xfId="0" applyFill="1" applyAlignment="1" applyProtection="1">
      <alignment/>
      <protection locked="0"/>
    </xf>
    <xf numFmtId="0" fontId="0" fillId="0" borderId="0" xfId="0" applyNumberFormat="1" applyFill="1" applyAlignment="1" applyProtection="1">
      <alignment/>
      <protection locked="0"/>
    </xf>
    <xf numFmtId="0" fontId="0" fillId="0" borderId="0" xfId="0" applyNumberFormat="1" applyFill="1" applyAlignment="1" applyProtection="1">
      <alignment horizontal="right"/>
      <protection locked="0"/>
    </xf>
    <xf numFmtId="0" fontId="0" fillId="0" borderId="0" xfId="0" applyFill="1" applyBorder="1" applyAlignment="1" applyProtection="1">
      <alignment/>
      <protection locked="0"/>
    </xf>
    <xf numFmtId="0" fontId="0" fillId="0" borderId="14" xfId="0" applyFill="1" applyBorder="1" applyAlignment="1" applyProtection="1">
      <alignment/>
      <protection locked="0"/>
    </xf>
    <xf numFmtId="3" fontId="0" fillId="0" borderId="14" xfId="0" applyNumberFormat="1" applyFill="1" applyBorder="1" applyAlignment="1" applyProtection="1">
      <alignment horizontal="right"/>
      <protection locked="0"/>
    </xf>
    <xf numFmtId="0" fontId="0" fillId="0" borderId="0" xfId="0" applyAlignment="1" applyProtection="1">
      <alignment horizontal="left"/>
      <protection locked="0"/>
    </xf>
    <xf numFmtId="0" fontId="0" fillId="33" borderId="0" xfId="0" applyFill="1" applyAlignment="1" applyProtection="1">
      <alignment/>
      <protection locked="0"/>
    </xf>
    <xf numFmtId="0" fontId="6" fillId="34" borderId="0" xfId="0" applyFont="1" applyFill="1" applyAlignment="1">
      <alignment horizontal="right" wrapText="1"/>
    </xf>
    <xf numFmtId="0" fontId="0" fillId="34" borderId="0" xfId="0" applyFill="1" applyAlignment="1" applyProtection="1">
      <alignment/>
      <protection/>
    </xf>
    <xf numFmtId="0" fontId="0" fillId="34" borderId="0" xfId="0" applyNumberFormat="1" applyFill="1" applyAlignment="1" applyProtection="1">
      <alignment/>
      <protection/>
    </xf>
    <xf numFmtId="0" fontId="0" fillId="0" borderId="0" xfId="0" applyNumberFormat="1" applyFill="1" applyAlignment="1">
      <alignment/>
    </xf>
    <xf numFmtId="185" fontId="1" fillId="0" borderId="0" xfId="0" applyNumberFormat="1" applyFont="1" applyAlignment="1">
      <alignment horizontal="right"/>
    </xf>
    <xf numFmtId="185" fontId="1" fillId="0" borderId="0" xfId="0" applyNumberFormat="1" applyFont="1" applyAlignment="1">
      <alignment horizontal="left"/>
    </xf>
    <xf numFmtId="0" fontId="7" fillId="0" borderId="0" xfId="0" applyNumberFormat="1" applyFont="1" applyAlignment="1">
      <alignment horizontal="left"/>
    </xf>
    <xf numFmtId="0" fontId="7" fillId="0" borderId="0" xfId="0" applyFont="1" applyAlignment="1">
      <alignment/>
    </xf>
    <xf numFmtId="191" fontId="7" fillId="0" borderId="0" xfId="0" applyNumberFormat="1" applyFont="1" applyAlignment="1">
      <alignment/>
    </xf>
    <xf numFmtId="9" fontId="0" fillId="33" borderId="0" xfId="0" applyNumberFormat="1" applyFill="1" applyBorder="1" applyAlignment="1">
      <alignment/>
    </xf>
    <xf numFmtId="9" fontId="0" fillId="40" borderId="15" xfId="0" applyNumberFormat="1" applyFont="1" applyFill="1" applyBorder="1" applyAlignment="1">
      <alignment/>
    </xf>
    <xf numFmtId="191" fontId="0" fillId="40" borderId="16" xfId="0" applyNumberFormat="1" applyFont="1" applyFill="1" applyBorder="1" applyAlignment="1">
      <alignment/>
    </xf>
    <xf numFmtId="0" fontId="0" fillId="40" borderId="17" xfId="0" applyNumberFormat="1" applyFont="1" applyFill="1" applyBorder="1" applyAlignment="1">
      <alignment horizontal="right"/>
    </xf>
    <xf numFmtId="9" fontId="0" fillId="40" borderId="0" xfId="0" applyNumberFormat="1" applyFont="1" applyFill="1" applyBorder="1" applyAlignment="1">
      <alignment/>
    </xf>
    <xf numFmtId="191" fontId="0" fillId="40" borderId="18" xfId="0" applyNumberFormat="1" applyFont="1" applyFill="1" applyBorder="1" applyAlignment="1">
      <alignment/>
    </xf>
    <xf numFmtId="0" fontId="0" fillId="40" borderId="0" xfId="0" applyFont="1" applyFill="1" applyBorder="1" applyAlignment="1">
      <alignment horizontal="left"/>
    </xf>
    <xf numFmtId="9" fontId="0" fillId="40" borderId="0" xfId="0" applyNumberFormat="1" applyFont="1" applyFill="1" applyBorder="1" applyAlignment="1">
      <alignment horizontal="left"/>
    </xf>
    <xf numFmtId="0" fontId="0" fillId="40" borderId="19" xfId="0" applyNumberFormat="1" applyFont="1" applyFill="1" applyBorder="1" applyAlignment="1">
      <alignment horizontal="right"/>
    </xf>
    <xf numFmtId="9" fontId="0" fillId="40" borderId="20" xfId="0" applyNumberFormat="1" applyFont="1" applyFill="1" applyBorder="1" applyAlignment="1">
      <alignment horizontal="left"/>
    </xf>
    <xf numFmtId="191" fontId="0" fillId="40" borderId="21" xfId="0" applyNumberFormat="1" applyFont="1" applyFill="1" applyBorder="1" applyAlignment="1">
      <alignment/>
    </xf>
    <xf numFmtId="9" fontId="0" fillId="40" borderId="10" xfId="0" applyNumberFormat="1" applyFill="1" applyBorder="1" applyAlignment="1">
      <alignment/>
    </xf>
    <xf numFmtId="9" fontId="0" fillId="40" borderId="11" xfId="0" applyNumberFormat="1" applyFill="1" applyBorder="1" applyAlignment="1">
      <alignment/>
    </xf>
    <xf numFmtId="0" fontId="0" fillId="40" borderId="11" xfId="0" applyFill="1" applyBorder="1" applyAlignment="1">
      <alignment/>
    </xf>
    <xf numFmtId="9" fontId="0" fillId="40" borderId="12" xfId="0" applyNumberFormat="1" applyFill="1" applyBorder="1" applyAlignment="1">
      <alignment/>
    </xf>
    <xf numFmtId="0" fontId="0" fillId="40" borderId="15" xfId="0" applyNumberFormat="1" applyFont="1" applyFill="1" applyBorder="1" applyAlignment="1">
      <alignment horizontal="right"/>
    </xf>
    <xf numFmtId="0" fontId="0" fillId="40" borderId="0" xfId="0" applyNumberFormat="1" applyFont="1" applyFill="1" applyBorder="1" applyAlignment="1">
      <alignment horizontal="right"/>
    </xf>
    <xf numFmtId="0" fontId="0" fillId="41" borderId="22" xfId="0" applyFill="1" applyBorder="1" applyAlignment="1">
      <alignment/>
    </xf>
    <xf numFmtId="0" fontId="0" fillId="0" borderId="16" xfId="0" applyBorder="1" applyAlignment="1">
      <alignment/>
    </xf>
    <xf numFmtId="0" fontId="0" fillId="37" borderId="17" xfId="0" applyFill="1" applyBorder="1" applyAlignment="1">
      <alignment/>
    </xf>
    <xf numFmtId="0" fontId="0" fillId="38" borderId="18" xfId="0" applyFill="1" applyBorder="1" applyAlignment="1">
      <alignment/>
    </xf>
    <xf numFmtId="0" fontId="0" fillId="40" borderId="17" xfId="0" applyFill="1" applyBorder="1" applyAlignment="1">
      <alignment/>
    </xf>
    <xf numFmtId="0" fontId="0" fillId="40" borderId="18" xfId="0" applyFill="1" applyBorder="1" applyAlignment="1">
      <alignment/>
    </xf>
    <xf numFmtId="0" fontId="0" fillId="0" borderId="18" xfId="0" applyBorder="1" applyAlignment="1">
      <alignment/>
    </xf>
    <xf numFmtId="0" fontId="0" fillId="37" borderId="19" xfId="0" applyFill="1" applyBorder="1" applyAlignment="1">
      <alignment/>
    </xf>
    <xf numFmtId="0" fontId="0" fillId="0" borderId="21" xfId="0" applyBorder="1" applyAlignment="1">
      <alignment/>
    </xf>
    <xf numFmtId="0" fontId="0" fillId="0" borderId="0" xfId="0" applyFont="1" applyAlignment="1">
      <alignment horizontal="left" wrapText="1"/>
    </xf>
    <xf numFmtId="0" fontId="0" fillId="0" borderId="0" xfId="0" applyAlignment="1">
      <alignment horizontal="left" wrapText="1"/>
    </xf>
    <xf numFmtId="0" fontId="0" fillId="37" borderId="0" xfId="0" applyFill="1" applyAlignment="1">
      <alignment horizontal="center"/>
    </xf>
    <xf numFmtId="186" fontId="0" fillId="37" borderId="0" xfId="0" applyNumberFormat="1" applyFill="1" applyAlignment="1" applyProtection="1">
      <alignment/>
      <protection/>
    </xf>
    <xf numFmtId="0" fontId="0" fillId="37" borderId="0" xfId="0" applyNumberFormat="1" applyFill="1" applyAlignment="1">
      <alignment horizontal="left"/>
    </xf>
    <xf numFmtId="0" fontId="0" fillId="36" borderId="0" xfId="0" applyFill="1" applyAlignment="1" applyProtection="1">
      <alignment/>
      <protection/>
    </xf>
    <xf numFmtId="2" fontId="0" fillId="0" borderId="0" xfId="0" applyNumberFormat="1" applyFill="1" applyAlignment="1" applyProtection="1">
      <alignment/>
      <protection locked="0"/>
    </xf>
    <xf numFmtId="0" fontId="9" fillId="42" borderId="0" xfId="0" applyFont="1" applyFill="1" applyAlignment="1">
      <alignment/>
    </xf>
    <xf numFmtId="0" fontId="10" fillId="42" borderId="0" xfId="0" applyFont="1" applyFill="1" applyAlignment="1">
      <alignment/>
    </xf>
    <xf numFmtId="0" fontId="10" fillId="42" borderId="0" xfId="0" applyFont="1" applyFill="1" applyAlignment="1">
      <alignment horizontal="right"/>
    </xf>
    <xf numFmtId="0" fontId="10" fillId="42" borderId="0" xfId="0" applyFont="1" applyFill="1" applyAlignment="1">
      <alignment horizontal="center"/>
    </xf>
    <xf numFmtId="0" fontId="11" fillId="42" borderId="0" xfId="0" applyFont="1" applyFill="1" applyAlignment="1">
      <alignment/>
    </xf>
    <xf numFmtId="0" fontId="0" fillId="37" borderId="0" xfId="0" applyFill="1" applyAlignment="1">
      <alignment horizontal="left"/>
    </xf>
    <xf numFmtId="0" fontId="1" fillId="42" borderId="0" xfId="0" applyFont="1" applyFill="1" applyAlignment="1">
      <alignment horizontal="left"/>
    </xf>
    <xf numFmtId="0" fontId="0" fillId="34" borderId="0" xfId="0" applyFill="1" applyAlignment="1">
      <alignment horizontal="left"/>
    </xf>
    <xf numFmtId="0" fontId="0" fillId="39" borderId="0" xfId="0" applyFill="1" applyAlignment="1">
      <alignment horizontal="left"/>
    </xf>
    <xf numFmtId="3" fontId="0" fillId="37" borderId="0" xfId="0" applyNumberFormat="1" applyFill="1" applyAlignment="1">
      <alignment horizontal="right"/>
    </xf>
    <xf numFmtId="191" fontId="0" fillId="37" borderId="0" xfId="0" applyNumberFormat="1" applyFill="1" applyAlignment="1">
      <alignment/>
    </xf>
    <xf numFmtId="0" fontId="13" fillId="34" borderId="0" xfId="0" applyFont="1" applyFill="1" applyAlignment="1">
      <alignment/>
    </xf>
    <xf numFmtId="0" fontId="13" fillId="34" borderId="0" xfId="0" applyNumberFormat="1" applyFont="1" applyFill="1" applyAlignment="1">
      <alignment horizontal="right"/>
    </xf>
    <xf numFmtId="0" fontId="1" fillId="34" borderId="0" xfId="0" applyFont="1" applyFill="1" applyBorder="1" applyAlignment="1">
      <alignment/>
    </xf>
    <xf numFmtId="0" fontId="0" fillId="0" borderId="23" xfId="0" applyNumberFormat="1" applyFill="1" applyBorder="1" applyAlignment="1" applyProtection="1">
      <alignment/>
      <protection locked="0"/>
    </xf>
    <xf numFmtId="0" fontId="14" fillId="34" borderId="24" xfId="0" applyFont="1" applyFill="1" applyBorder="1" applyAlignment="1">
      <alignment horizontal="right"/>
    </xf>
    <xf numFmtId="0" fontId="0" fillId="36" borderId="0" xfId="0" applyFill="1" applyBorder="1" applyAlignment="1" applyProtection="1">
      <alignment/>
      <protection locked="0"/>
    </xf>
    <xf numFmtId="3" fontId="1" fillId="34" borderId="0" xfId="0" applyNumberFormat="1" applyFont="1" applyFill="1" applyAlignment="1">
      <alignment horizontal="right"/>
    </xf>
    <xf numFmtId="3" fontId="1" fillId="34" borderId="0" xfId="0" applyNumberFormat="1" applyFont="1" applyFill="1" applyAlignment="1">
      <alignment horizontal="left"/>
    </xf>
    <xf numFmtId="191" fontId="1" fillId="34" borderId="0" xfId="0" applyNumberFormat="1" applyFont="1" applyFill="1" applyAlignment="1">
      <alignment/>
    </xf>
    <xf numFmtId="191" fontId="0" fillId="0" borderId="0" xfId="0" applyNumberFormat="1" applyFill="1" applyAlignment="1">
      <alignment/>
    </xf>
    <xf numFmtId="0" fontId="15" fillId="34" borderId="0" xfId="0" applyNumberFormat="1" applyFont="1" applyFill="1" applyAlignment="1">
      <alignment horizontal="left"/>
    </xf>
    <xf numFmtId="0" fontId="15" fillId="34" borderId="0" xfId="0" applyNumberFormat="1" applyFont="1" applyFill="1" applyAlignment="1" applyProtection="1">
      <alignment horizontal="left"/>
      <protection locked="0"/>
    </xf>
    <xf numFmtId="0" fontId="15" fillId="0" borderId="0" xfId="0" applyNumberFormat="1" applyFont="1" applyFill="1" applyAlignment="1" applyProtection="1">
      <alignment horizontal="left"/>
      <protection locked="0"/>
    </xf>
    <xf numFmtId="3" fontId="15" fillId="34" borderId="0" xfId="0" applyNumberFormat="1" applyFont="1" applyFill="1" applyAlignment="1" applyProtection="1">
      <alignment horizontal="right"/>
      <protection locked="0"/>
    </xf>
    <xf numFmtId="3" fontId="15" fillId="34" borderId="0" xfId="0" applyNumberFormat="1" applyFont="1" applyFill="1" applyAlignment="1">
      <alignment horizontal="right"/>
    </xf>
    <xf numFmtId="0" fontId="15" fillId="34" borderId="0" xfId="0" applyFont="1" applyFill="1" applyAlignment="1">
      <alignment/>
    </xf>
    <xf numFmtId="0" fontId="0" fillId="43" borderId="25" xfId="0" applyFill="1" applyBorder="1" applyAlignment="1">
      <alignment/>
    </xf>
    <xf numFmtId="0" fontId="0" fillId="43" borderId="25" xfId="0" applyFill="1" applyBorder="1" applyAlignment="1" applyProtection="1">
      <alignment/>
      <protection locked="0"/>
    </xf>
    <xf numFmtId="0" fontId="0" fillId="43" borderId="26" xfId="0" applyFill="1" applyBorder="1" applyAlignment="1">
      <alignment/>
    </xf>
    <xf numFmtId="0" fontId="0" fillId="43" borderId="0" xfId="0" applyFill="1" applyBorder="1" applyAlignment="1">
      <alignment/>
    </xf>
    <xf numFmtId="0" fontId="0" fillId="43" borderId="0" xfId="0" applyFill="1" applyBorder="1" applyAlignment="1" applyProtection="1">
      <alignment/>
      <protection locked="0"/>
    </xf>
    <xf numFmtId="0" fontId="0" fillId="43" borderId="27" xfId="0" applyFill="1" applyBorder="1" applyAlignment="1">
      <alignment/>
    </xf>
    <xf numFmtId="0" fontId="0" fillId="43" borderId="28" xfId="0" applyFill="1" applyBorder="1" applyAlignment="1">
      <alignment/>
    </xf>
    <xf numFmtId="0" fontId="0" fillId="43" borderId="28" xfId="0" applyFill="1" applyBorder="1" applyAlignment="1" applyProtection="1">
      <alignment/>
      <protection locked="0"/>
    </xf>
    <xf numFmtId="0" fontId="0" fillId="43" borderId="29" xfId="0" applyFill="1" applyBorder="1" applyAlignment="1">
      <alignment/>
    </xf>
    <xf numFmtId="0" fontId="0" fillId="37" borderId="30" xfId="0" applyFill="1" applyBorder="1" applyAlignment="1">
      <alignment/>
    </xf>
    <xf numFmtId="0" fontId="0" fillId="37" borderId="31" xfId="0" applyFill="1" applyBorder="1" applyAlignment="1">
      <alignment/>
    </xf>
    <xf numFmtId="0" fontId="17" fillId="43" borderId="31" xfId="46" applyFont="1" applyFill="1" applyBorder="1" applyAlignment="1" applyProtection="1">
      <alignment horizontal="center" wrapText="1" shrinkToFit="1"/>
      <protection/>
    </xf>
    <xf numFmtId="0" fontId="4" fillId="37" borderId="0" xfId="0" applyFont="1" applyFill="1" applyAlignment="1">
      <alignment horizontal="center"/>
    </xf>
    <xf numFmtId="0" fontId="0" fillId="37" borderId="0" xfId="0" applyFill="1" applyAlignment="1">
      <alignment horizontal="left"/>
    </xf>
    <xf numFmtId="0" fontId="11" fillId="43" borderId="30" xfId="0" applyFont="1" applyFill="1" applyBorder="1" applyAlignment="1">
      <alignment horizontal="center" vertical="center" wrapText="1" shrinkToFit="1"/>
    </xf>
    <xf numFmtId="0" fontId="11" fillId="43" borderId="32" xfId="0" applyFont="1" applyFill="1" applyBorder="1" applyAlignment="1">
      <alignment horizontal="center" vertical="center" wrapText="1" shrinkToFit="1"/>
    </xf>
  </cellXfs>
  <cellStyles count="4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Eingabe" xfId="42"/>
    <cellStyle name="Ergebnis" xfId="43"/>
    <cellStyle name="Erklärender Text" xfId="44"/>
    <cellStyle name="Gut" xfId="45"/>
    <cellStyle name="Hyperlink" xfId="46"/>
    <cellStyle name="Neutral" xfId="47"/>
    <cellStyle name="Notiz" xfId="48"/>
    <cellStyle name="Schlecht" xfId="49"/>
    <cellStyle name="Überschrift" xfId="50"/>
    <cellStyle name="Überschrift 1" xfId="51"/>
    <cellStyle name="Überschrift 2" xfId="52"/>
    <cellStyle name="Überschrift 3" xfId="53"/>
    <cellStyle name="Überschrift 4" xfId="54"/>
    <cellStyle name="Verknüpfte Zelle" xfId="55"/>
    <cellStyle name="Warnender Text" xfId="56"/>
    <cellStyle name="Zelle überprüfen"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53</xdr:row>
      <xdr:rowOff>0</xdr:rowOff>
    </xdr:from>
    <xdr:to>
      <xdr:col>49</xdr:col>
      <xdr:colOff>0</xdr:colOff>
      <xdr:row>57</xdr:row>
      <xdr:rowOff>114300</xdr:rowOff>
    </xdr:to>
    <xdr:sp>
      <xdr:nvSpPr>
        <xdr:cNvPr id="1" name="WordArt 36"/>
        <xdr:cNvSpPr>
          <a:spLocks/>
        </xdr:cNvSpPr>
      </xdr:nvSpPr>
      <xdr:spPr>
        <a:xfrm>
          <a:off x="46834425" y="8820150"/>
          <a:ext cx="0" cy="790575"/>
        </a:xfrm>
        <a:prstGeom prst="rect"/>
        <a:noFill/>
      </xdr:spPr>
      <xdr:txBody>
        <a:bodyPr fromWordArt="1" wrap="none" lIns="91440" tIns="45720" rIns="91440" bIns="45720">
          <a:prstTxWarp prst="textPlain"/>
        </a:bodyPr>
        <a:p>
          <a:pPr algn="ctr"/>
          <a:r>
            <a:rPr sz="12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SANS GARANTIECOPYRIGHTS: FRÄNK SIEBENALLER</a:t>
          </a:r>
        </a:p>
      </xdr:txBody>
    </xdr:sp>
    <xdr:clientData/>
  </xdr:twoCellAnchor>
  <xdr:twoCellAnchor>
    <xdr:from>
      <xdr:col>4</xdr:col>
      <xdr:colOff>381000</xdr:colOff>
      <xdr:row>68</xdr:row>
      <xdr:rowOff>114300</xdr:rowOff>
    </xdr:from>
    <xdr:to>
      <xdr:col>6</xdr:col>
      <xdr:colOff>981075</xdr:colOff>
      <xdr:row>69</xdr:row>
      <xdr:rowOff>161925</xdr:rowOff>
    </xdr:to>
    <xdr:sp>
      <xdr:nvSpPr>
        <xdr:cNvPr id="2" name="WordArt 315"/>
        <xdr:cNvSpPr>
          <a:spLocks/>
        </xdr:cNvSpPr>
      </xdr:nvSpPr>
      <xdr:spPr>
        <a:xfrm>
          <a:off x="4762500" y="11458575"/>
          <a:ext cx="2000250" cy="209550"/>
        </a:xfrm>
        <a:prstGeom prst="rect"/>
        <a:noFill/>
      </xdr:spPr>
      <xdr:txBody>
        <a:bodyPr fromWordArt="1" wrap="none" lIns="91440" tIns="45720" rIns="91440" bIns="45720">
          <a:prstTxWarp prst="textPlain"/>
        </a:bodyPr>
        <a:p>
          <a:pPr algn="ctr"/>
          <a:r>
            <a:rPr sz="12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SANS GARANTIECOPYRIGHTS: FRÄNK SIEBENALLER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72"/>
  <sheetViews>
    <sheetView tabSelected="1" zoomScalePageLayoutView="0" workbookViewId="0" topLeftCell="A1">
      <pane xSplit="19395" topLeftCell="B1" activePane="topLeft" state="split"/>
      <selection pane="topLeft" activeCell="A2" sqref="A2:A8"/>
      <selection pane="topRight" activeCell="A23" sqref="A23"/>
    </sheetView>
  </sheetViews>
  <sheetFormatPr defaultColWidth="10.28125" defaultRowHeight="12.75"/>
  <cols>
    <col min="1" max="1" width="14.57421875" style="20" customWidth="1"/>
    <col min="2" max="2" width="32.28125" style="0" customWidth="1"/>
    <col min="3" max="3" width="9.7109375" style="0" customWidth="1"/>
    <col min="4" max="4" width="9.140625" style="0" customWidth="1"/>
    <col min="5" max="5" width="11.8515625" style="0" customWidth="1"/>
    <col min="6" max="6" width="9.140625" style="0" customWidth="1"/>
    <col min="7" max="7" width="15.8515625" style="0" customWidth="1"/>
    <col min="8" max="8" width="8.421875" style="0" customWidth="1"/>
    <col min="9" max="9" width="91.57421875" style="0" customWidth="1"/>
    <col min="10" max="10" width="9.140625" style="0" customWidth="1"/>
    <col min="11" max="11" width="16.140625" style="0" customWidth="1"/>
    <col min="12" max="12" width="21.7109375" style="0" customWidth="1"/>
    <col min="13" max="13" width="17.28125" style="0" customWidth="1"/>
    <col min="14" max="14" width="18.57421875" style="0" customWidth="1"/>
    <col min="15" max="15" width="14.421875" style="0" customWidth="1"/>
    <col min="16" max="16" width="12.140625" style="0" customWidth="1"/>
    <col min="17" max="17" width="17.8515625" style="0" customWidth="1"/>
    <col min="18" max="18" width="10.28125" style="0" customWidth="1"/>
    <col min="19" max="19" width="11.421875" style="0" customWidth="1"/>
    <col min="20" max="41" width="10.28125" style="0" customWidth="1"/>
    <col min="42" max="42" width="43.7109375" style="20" customWidth="1"/>
    <col min="43" max="43" width="10.28125" style="0" customWidth="1"/>
    <col min="44" max="44" width="19.140625" style="0" customWidth="1"/>
    <col min="45" max="50" width="10.28125" style="0" customWidth="1"/>
    <col min="51" max="51" width="10.28125" style="0" hidden="1" customWidth="1"/>
  </cols>
  <sheetData>
    <row r="1" spans="1:48" ht="16.5" customHeight="1" thickBot="1">
      <c r="A1" s="109"/>
      <c r="B1" s="99" t="s">
        <v>44</v>
      </c>
      <c r="C1" s="54" t="s">
        <v>141</v>
      </c>
      <c r="D1" s="54"/>
      <c r="E1" s="26" t="s">
        <v>51</v>
      </c>
      <c r="F1" s="54">
        <v>7.5627</v>
      </c>
      <c r="G1" s="26"/>
      <c r="H1" s="26"/>
      <c r="I1" s="36"/>
      <c r="J1" t="b">
        <v>0</v>
      </c>
      <c r="N1" s="1" t="s">
        <v>0</v>
      </c>
      <c r="V1" s="4">
        <v>52</v>
      </c>
      <c r="Z1" s="1"/>
      <c r="AL1" s="4"/>
      <c r="AR1" t="s">
        <v>38</v>
      </c>
      <c r="AS1">
        <f>C4</f>
        <v>9</v>
      </c>
      <c r="AT1">
        <f>C3</f>
        <v>1991</v>
      </c>
      <c r="AV1">
        <f>INDEX(T6:AN34,AU4,AO48)</f>
        <v>0</v>
      </c>
    </row>
    <row r="2" spans="1:46" ht="16.5" customHeight="1" thickTop="1">
      <c r="A2" s="145"/>
      <c r="B2" s="131" t="s">
        <v>45</v>
      </c>
      <c r="C2" s="132"/>
      <c r="D2" s="133"/>
      <c r="E2" s="26" t="s">
        <v>52</v>
      </c>
      <c r="F2" s="34">
        <v>111</v>
      </c>
      <c r="G2" s="26"/>
      <c r="H2" s="26"/>
      <c r="I2" s="36"/>
      <c r="J2" t="b">
        <v>0</v>
      </c>
      <c r="L2" s="1" t="s">
        <v>1</v>
      </c>
      <c r="V2" s="1" t="s">
        <v>96</v>
      </c>
      <c r="Z2" s="1"/>
      <c r="AL2" s="4"/>
      <c r="AR2" t="s">
        <v>39</v>
      </c>
      <c r="AS2">
        <f>C8</f>
        <v>8</v>
      </c>
      <c r="AT2">
        <f>C7</f>
        <v>2009</v>
      </c>
    </row>
    <row r="3" spans="1:47" ht="12.75">
      <c r="A3" s="146"/>
      <c r="B3" s="134" t="s">
        <v>46</v>
      </c>
      <c r="C3" s="135">
        <v>1991</v>
      </c>
      <c r="D3" s="136"/>
      <c r="E3" s="26" t="s">
        <v>53</v>
      </c>
      <c r="F3" s="100">
        <f>G4*F1</f>
        <v>17.62411608</v>
      </c>
      <c r="G3" s="26"/>
      <c r="H3" s="26"/>
      <c r="I3" s="36"/>
      <c r="O3" s="12"/>
      <c r="S3" s="1" t="s">
        <v>17</v>
      </c>
      <c r="Z3" s="2" t="s">
        <v>37</v>
      </c>
      <c r="AB3" s="1"/>
      <c r="AD3" s="4"/>
      <c r="AJ3" s="2" t="s">
        <v>32</v>
      </c>
      <c r="AK3" s="5"/>
      <c r="AL3" s="5"/>
      <c r="AM3" s="5"/>
      <c r="AN3" s="5"/>
      <c r="AS3">
        <f>12-AS1+AS2</f>
        <v>11</v>
      </c>
      <c r="AT3">
        <f>(AT2-AT1)*12-12</f>
        <v>204</v>
      </c>
      <c r="AU3">
        <f>(SUM(AS3:AT3))/12</f>
        <v>17.916666666666668</v>
      </c>
    </row>
    <row r="4" spans="1:47" ht="13.5" thickBot="1">
      <c r="A4" s="146"/>
      <c r="B4" s="137" t="s">
        <v>47</v>
      </c>
      <c r="C4" s="138">
        <v>9</v>
      </c>
      <c r="D4" s="139"/>
      <c r="E4" s="26" t="s">
        <v>95</v>
      </c>
      <c r="F4" s="26"/>
      <c r="G4" s="65">
        <f>2.3304</f>
        <v>2.3304</v>
      </c>
      <c r="H4" s="26"/>
      <c r="I4" s="36"/>
      <c r="L4" s="12" t="s">
        <v>142</v>
      </c>
      <c r="S4" s="2" t="s">
        <v>18</v>
      </c>
      <c r="T4" s="2" t="s">
        <v>19</v>
      </c>
      <c r="U4" s="2" t="s">
        <v>19</v>
      </c>
      <c r="V4" s="2" t="s">
        <v>19</v>
      </c>
      <c r="W4" s="2" t="s">
        <v>19</v>
      </c>
      <c r="X4" s="2" t="s">
        <v>19</v>
      </c>
      <c r="AB4" s="2" t="s">
        <v>19</v>
      </c>
      <c r="AC4" s="2" t="s">
        <v>19</v>
      </c>
      <c r="AD4" s="2" t="s">
        <v>19</v>
      </c>
      <c r="AE4" s="2" t="s">
        <v>19</v>
      </c>
      <c r="AF4" s="2" t="s">
        <v>19</v>
      </c>
      <c r="AG4" s="2" t="s">
        <v>19</v>
      </c>
      <c r="AH4" s="2" t="s">
        <v>19</v>
      </c>
      <c r="AJ4" s="2" t="s">
        <v>18</v>
      </c>
      <c r="AK4" s="2" t="s">
        <v>19</v>
      </c>
      <c r="AL4" s="2" t="s">
        <v>19</v>
      </c>
      <c r="AM4" s="2" t="s">
        <v>19</v>
      </c>
      <c r="AN4" s="2" t="s">
        <v>19</v>
      </c>
      <c r="AR4" s="23" t="s">
        <v>48</v>
      </c>
      <c r="AU4">
        <f>IF(ROUNDUP(AU3,0)&gt;28,28,ROUNDUP(AU3,0))</f>
        <v>18</v>
      </c>
    </row>
    <row r="5" spans="1:44" ht="17.25" customHeight="1" thickTop="1">
      <c r="A5" s="146"/>
      <c r="B5" s="140" t="s">
        <v>73</v>
      </c>
      <c r="C5" s="37"/>
      <c r="D5" s="26"/>
      <c r="E5" s="26"/>
      <c r="F5" s="26"/>
      <c r="G5" s="26"/>
      <c r="H5" s="26"/>
      <c r="I5" s="36"/>
      <c r="T5" s="2" t="s">
        <v>20</v>
      </c>
      <c r="U5" s="2" t="s">
        <v>21</v>
      </c>
      <c r="V5" s="2" t="s">
        <v>22</v>
      </c>
      <c r="W5" s="2" t="s">
        <v>23</v>
      </c>
      <c r="X5" s="2" t="s">
        <v>24</v>
      </c>
      <c r="AA5" s="2" t="s">
        <v>18</v>
      </c>
      <c r="AB5" s="2" t="s">
        <v>25</v>
      </c>
      <c r="AC5" s="2" t="s">
        <v>26</v>
      </c>
      <c r="AD5" s="2" t="s">
        <v>27</v>
      </c>
      <c r="AE5" s="2" t="s">
        <v>28</v>
      </c>
      <c r="AF5" s="2" t="s">
        <v>29</v>
      </c>
      <c r="AG5" s="2" t="s">
        <v>30</v>
      </c>
      <c r="AH5" s="2" t="s">
        <v>31</v>
      </c>
      <c r="AJ5" s="5"/>
      <c r="AK5" s="2" t="s">
        <v>33</v>
      </c>
      <c r="AL5" s="2" t="s">
        <v>34</v>
      </c>
      <c r="AM5" s="2" t="s">
        <v>35</v>
      </c>
      <c r="AN5" s="2" t="s">
        <v>36</v>
      </c>
      <c r="AP5" s="60">
        <v>35</v>
      </c>
      <c r="AR5" s="61">
        <v>1</v>
      </c>
    </row>
    <row r="6" spans="1:44" ht="13.5" thickBot="1">
      <c r="A6" s="146"/>
      <c r="B6" s="141" t="s">
        <v>69</v>
      </c>
      <c r="C6" s="54">
        <v>7</v>
      </c>
      <c r="D6" s="26" t="s">
        <v>68</v>
      </c>
      <c r="E6" s="26"/>
      <c r="F6" s="26">
        <f>IF(C6&lt;5,0,AT25)</f>
        <v>24.75</v>
      </c>
      <c r="G6" s="26"/>
      <c r="H6" s="26"/>
      <c r="I6" s="36"/>
      <c r="K6" s="2" t="s">
        <v>4</v>
      </c>
      <c r="M6" s="3"/>
      <c r="N6" s="8" t="s">
        <v>2</v>
      </c>
      <c r="O6" s="66" t="s">
        <v>3</v>
      </c>
      <c r="P6" t="s">
        <v>2</v>
      </c>
      <c r="Q6" t="s">
        <v>3</v>
      </c>
      <c r="S6" s="4">
        <v>0</v>
      </c>
      <c r="T6" s="4"/>
      <c r="U6" s="4"/>
      <c r="V6" s="4"/>
      <c r="W6" s="4"/>
      <c r="X6" s="4"/>
      <c r="AA6" s="4">
        <v>0</v>
      </c>
      <c r="AB6" s="4"/>
      <c r="AC6" s="4"/>
      <c r="AD6" s="4"/>
      <c r="AE6" s="4"/>
      <c r="AF6" s="4"/>
      <c r="AG6" s="4"/>
      <c r="AH6" s="4"/>
      <c r="AJ6" s="4">
        <v>0</v>
      </c>
      <c r="AK6" s="4"/>
      <c r="AL6" s="4"/>
      <c r="AM6" s="4"/>
      <c r="AN6" s="4"/>
      <c r="AO6" s="4">
        <v>1</v>
      </c>
      <c r="AP6" s="20" t="s">
        <v>102</v>
      </c>
      <c r="AQ6" t="s">
        <v>20</v>
      </c>
      <c r="AR6" s="15">
        <v>1</v>
      </c>
    </row>
    <row r="7" spans="1:44" ht="13.5" thickTop="1">
      <c r="A7" s="146"/>
      <c r="B7" s="131" t="s">
        <v>50</v>
      </c>
      <c r="C7" s="132">
        <v>2009</v>
      </c>
      <c r="D7" s="133"/>
      <c r="E7" s="26"/>
      <c r="F7" s="26"/>
      <c r="G7" s="26"/>
      <c r="H7" s="26"/>
      <c r="I7" s="36"/>
      <c r="J7" s="5">
        <v>1</v>
      </c>
      <c r="K7" s="7">
        <v>0</v>
      </c>
      <c r="L7" s="5"/>
      <c r="M7" s="10">
        <v>1023.75</v>
      </c>
      <c r="O7">
        <v>0</v>
      </c>
      <c r="P7" s="18">
        <f>IF(Rp&gt;$M7,0,IF(Rp&gt;$K7,N7,0))</f>
        <v>0</v>
      </c>
      <c r="Q7" s="18">
        <f aca="true" t="shared" si="0" ref="Q7:Q25">IF(Rp&gt;$M7,0,IF(Rp&gt;$K7,O7,0))</f>
        <v>0</v>
      </c>
      <c r="R7" s="5"/>
      <c r="S7" s="4">
        <v>1</v>
      </c>
      <c r="T7" s="4"/>
      <c r="U7" s="4"/>
      <c r="V7" s="4"/>
      <c r="W7" s="4"/>
      <c r="X7" s="4"/>
      <c r="AA7" s="4">
        <v>1</v>
      </c>
      <c r="AB7" s="4"/>
      <c r="AC7" s="4"/>
      <c r="AD7" s="4"/>
      <c r="AE7" s="4"/>
      <c r="AF7" s="4"/>
      <c r="AG7" s="4"/>
      <c r="AH7" s="4"/>
      <c r="AJ7" s="4">
        <v>1</v>
      </c>
      <c r="AK7" s="4"/>
      <c r="AL7" s="4"/>
      <c r="AM7" s="4"/>
      <c r="AN7" s="4"/>
      <c r="AO7" s="4">
        <v>2</v>
      </c>
      <c r="AP7" s="20" t="s">
        <v>103</v>
      </c>
      <c r="AQ7" t="s">
        <v>21</v>
      </c>
      <c r="AR7" s="15">
        <v>2</v>
      </c>
    </row>
    <row r="8" spans="1:44" ht="13.5" thickBot="1">
      <c r="A8" s="142"/>
      <c r="B8" s="137" t="s">
        <v>49</v>
      </c>
      <c r="C8" s="138">
        <v>8</v>
      </c>
      <c r="D8" s="139"/>
      <c r="E8" s="26"/>
      <c r="F8" s="26"/>
      <c r="G8" s="26"/>
      <c r="H8" s="26"/>
      <c r="I8" s="36"/>
      <c r="J8" s="5">
        <v>2</v>
      </c>
      <c r="K8" s="7">
        <v>1023.76</v>
      </c>
      <c r="L8" s="5"/>
      <c r="M8" s="10">
        <v>1182.75</v>
      </c>
      <c r="N8">
        <v>0.08</v>
      </c>
      <c r="O8">
        <v>81.9</v>
      </c>
      <c r="P8" s="18">
        <f aca="true" t="shared" si="1" ref="P8:P21">IF(Rp&gt;M8,0,IF(Rp&gt;K8,N8,0))</f>
        <v>0</v>
      </c>
      <c r="Q8" s="18">
        <f t="shared" si="0"/>
        <v>0</v>
      </c>
      <c r="R8" s="5"/>
      <c r="S8" s="4">
        <v>2</v>
      </c>
      <c r="T8" s="4"/>
      <c r="U8" s="4"/>
      <c r="V8" s="4"/>
      <c r="W8" s="4"/>
      <c r="X8" s="4"/>
      <c r="AA8" s="4">
        <v>2</v>
      </c>
      <c r="AB8" s="4"/>
      <c r="AC8" s="4"/>
      <c r="AD8" s="4"/>
      <c r="AE8" s="4"/>
      <c r="AF8" s="4"/>
      <c r="AG8" s="4"/>
      <c r="AH8" s="4"/>
      <c r="AJ8" s="4">
        <v>2</v>
      </c>
      <c r="AK8" s="4"/>
      <c r="AL8" s="4"/>
      <c r="AM8" s="4"/>
      <c r="AN8" s="4"/>
      <c r="AO8" s="4">
        <v>2</v>
      </c>
      <c r="AP8" s="20" t="s">
        <v>104</v>
      </c>
      <c r="AQ8" t="s">
        <v>21</v>
      </c>
      <c r="AR8" s="15" t="s">
        <v>97</v>
      </c>
    </row>
    <row r="9" spans="1:44" ht="13.5" thickTop="1">
      <c r="A9" s="109"/>
      <c r="B9" s="26" t="s">
        <v>54</v>
      </c>
      <c r="C9" s="103">
        <v>100</v>
      </c>
      <c r="D9" s="26">
        <f>164.35*C9/100</f>
        <v>164.35</v>
      </c>
      <c r="E9" s="144" t="s">
        <v>160</v>
      </c>
      <c r="F9" s="144"/>
      <c r="G9" s="26"/>
      <c r="H9" s="26"/>
      <c r="I9" s="36"/>
      <c r="J9" s="5">
        <v>3</v>
      </c>
      <c r="K9" s="7">
        <v>1182.76</v>
      </c>
      <c r="L9" s="5"/>
      <c r="M9" s="10">
        <v>1341.75</v>
      </c>
      <c r="N9">
        <v>0.1</v>
      </c>
      <c r="O9">
        <v>105.555</v>
      </c>
      <c r="P9" s="18">
        <f t="shared" si="1"/>
        <v>0</v>
      </c>
      <c r="Q9" s="18">
        <f t="shared" si="0"/>
        <v>0</v>
      </c>
      <c r="R9" s="5"/>
      <c r="S9" s="4">
        <v>3</v>
      </c>
      <c r="T9" s="4"/>
      <c r="U9" s="4"/>
      <c r="V9" s="4"/>
      <c r="W9" s="4"/>
      <c r="X9" s="4"/>
      <c r="AA9" s="4">
        <v>3</v>
      </c>
      <c r="AB9" s="4"/>
      <c r="AC9" s="4"/>
      <c r="AD9" s="4"/>
      <c r="AE9" s="4"/>
      <c r="AF9" s="4"/>
      <c r="AG9" s="4"/>
      <c r="AH9" s="4"/>
      <c r="AJ9" s="4">
        <v>3</v>
      </c>
      <c r="AK9" s="4"/>
      <c r="AL9" s="4"/>
      <c r="AM9" s="4"/>
      <c r="AN9" s="4"/>
      <c r="AO9" s="4">
        <v>2</v>
      </c>
      <c r="AP9" s="20" t="s">
        <v>105</v>
      </c>
      <c r="AQ9" t="s">
        <v>21</v>
      </c>
      <c r="AR9" s="24">
        <v>0.33</v>
      </c>
    </row>
    <row r="10" spans="1:44" ht="12.75">
      <c r="A10" s="109"/>
      <c r="B10" s="26"/>
      <c r="C10" s="26"/>
      <c r="D10" s="26"/>
      <c r="E10" s="26"/>
      <c r="F10" s="26"/>
      <c r="G10" s="26"/>
      <c r="H10" s="26"/>
      <c r="I10" s="36"/>
      <c r="J10" s="5">
        <v>4</v>
      </c>
      <c r="K10" s="7">
        <v>1341.76</v>
      </c>
      <c r="L10" s="5"/>
      <c r="M10" s="10">
        <v>1500.75</v>
      </c>
      <c r="N10">
        <v>0.12</v>
      </c>
      <c r="O10">
        <v>132.39</v>
      </c>
      <c r="P10" s="18">
        <f t="shared" si="1"/>
        <v>0</v>
      </c>
      <c r="Q10" s="18">
        <f t="shared" si="0"/>
        <v>0</v>
      </c>
      <c r="R10" s="5"/>
      <c r="S10" s="4">
        <v>4</v>
      </c>
      <c r="T10" s="4"/>
      <c r="U10" s="4"/>
      <c r="V10" s="4"/>
      <c r="W10" s="4"/>
      <c r="X10" s="4"/>
      <c r="AA10" s="4">
        <v>4</v>
      </c>
      <c r="AB10" s="4"/>
      <c r="AC10" s="4"/>
      <c r="AD10" s="4"/>
      <c r="AE10" s="4"/>
      <c r="AF10" s="4"/>
      <c r="AG10" s="4"/>
      <c r="AH10" s="4"/>
      <c r="AJ10" s="4">
        <v>4</v>
      </c>
      <c r="AK10" s="4"/>
      <c r="AL10" s="4"/>
      <c r="AM10" s="4"/>
      <c r="AN10" s="4"/>
      <c r="AO10" s="4">
        <v>2</v>
      </c>
      <c r="AP10" s="20" t="s">
        <v>106</v>
      </c>
      <c r="AQ10" t="s">
        <v>21</v>
      </c>
      <c r="AR10" s="24">
        <v>0.21</v>
      </c>
    </row>
    <row r="11" spans="1:44" ht="12.75">
      <c r="A11" s="110"/>
      <c r="B11" s="104" t="s">
        <v>161</v>
      </c>
      <c r="C11" s="104"/>
      <c r="D11" s="105"/>
      <c r="E11" s="106" t="s">
        <v>162</v>
      </c>
      <c r="F11" s="107" t="s">
        <v>163</v>
      </c>
      <c r="G11" s="106" t="s">
        <v>164</v>
      </c>
      <c r="H11" s="108"/>
      <c r="I11" s="36"/>
      <c r="J11" s="5">
        <v>5</v>
      </c>
      <c r="K11" s="7">
        <v>1500.76</v>
      </c>
      <c r="L11" s="5"/>
      <c r="M11" s="10">
        <v>1659.75</v>
      </c>
      <c r="N11">
        <v>0.14</v>
      </c>
      <c r="O11">
        <v>162.405</v>
      </c>
      <c r="P11" s="18">
        <f t="shared" si="1"/>
        <v>0</v>
      </c>
      <c r="Q11" s="18">
        <f t="shared" si="0"/>
        <v>0</v>
      </c>
      <c r="R11" s="5"/>
      <c r="S11" s="4">
        <v>5</v>
      </c>
      <c r="T11" s="4"/>
      <c r="U11" s="4"/>
      <c r="V11" s="4"/>
      <c r="W11" s="4"/>
      <c r="X11" s="4"/>
      <c r="AA11" s="4">
        <v>5</v>
      </c>
      <c r="AB11" s="4"/>
      <c r="AC11" s="4"/>
      <c r="AD11" s="4"/>
      <c r="AE11" s="4"/>
      <c r="AF11" s="4"/>
      <c r="AG11" s="4"/>
      <c r="AH11" s="4"/>
      <c r="AJ11" s="4">
        <v>5</v>
      </c>
      <c r="AK11" s="4"/>
      <c r="AL11" s="4"/>
      <c r="AM11" s="4"/>
      <c r="AN11" s="4"/>
      <c r="AO11" s="4">
        <v>3</v>
      </c>
      <c r="AP11" s="20" t="s">
        <v>107</v>
      </c>
      <c r="AQ11" t="s">
        <v>22</v>
      </c>
      <c r="AR11" s="24">
        <v>0.15</v>
      </c>
    </row>
    <row r="12" spans="1:51" ht="13.5" thickBot="1">
      <c r="A12" s="111"/>
      <c r="B12" s="38" t="s">
        <v>155</v>
      </c>
      <c r="C12" s="63"/>
      <c r="D12" s="64"/>
      <c r="E12" s="63">
        <f>D9-(SUM(E32:E38))</f>
        <v>164.35</v>
      </c>
      <c r="F12" s="37">
        <f>ROUNDUP($F$2*$F$3/164.35,4)</f>
        <v>11.9032</v>
      </c>
      <c r="G12" s="37">
        <f>ROUND(E12*F12+D12+(C12*$F$3),2)</f>
        <v>1956.29</v>
      </c>
      <c r="H12" s="37"/>
      <c r="I12" s="36"/>
      <c r="J12" s="5">
        <v>6</v>
      </c>
      <c r="K12" s="7">
        <v>1659.76</v>
      </c>
      <c r="L12" s="5"/>
      <c r="M12" s="10">
        <v>1818.75</v>
      </c>
      <c r="N12">
        <v>0.16</v>
      </c>
      <c r="O12">
        <v>195.6</v>
      </c>
      <c r="P12" s="18">
        <f t="shared" si="1"/>
        <v>0.16</v>
      </c>
      <c r="Q12" s="18">
        <f t="shared" si="0"/>
        <v>195.6</v>
      </c>
      <c r="R12" s="5"/>
      <c r="S12" s="4">
        <v>6</v>
      </c>
      <c r="T12" s="4"/>
      <c r="U12" s="4"/>
      <c r="V12" s="4"/>
      <c r="W12" s="4"/>
      <c r="X12" s="4"/>
      <c r="AA12" s="4">
        <v>6</v>
      </c>
      <c r="AB12" s="4"/>
      <c r="AC12" s="4"/>
      <c r="AD12" s="4"/>
      <c r="AE12" s="4"/>
      <c r="AF12" s="4"/>
      <c r="AG12" s="4"/>
      <c r="AH12" s="4"/>
      <c r="AJ12" s="4">
        <v>6</v>
      </c>
      <c r="AK12" s="4"/>
      <c r="AL12" s="4"/>
      <c r="AM12" s="4"/>
      <c r="AN12" s="4"/>
      <c r="AO12" s="4">
        <v>3</v>
      </c>
      <c r="AP12" s="20" t="s">
        <v>108</v>
      </c>
      <c r="AQ12" t="s">
        <v>22</v>
      </c>
      <c r="AR12" s="71">
        <v>0</v>
      </c>
      <c r="AY12" t="s">
        <v>94</v>
      </c>
    </row>
    <row r="13" spans="1:44" ht="12.75">
      <c r="A13" s="111" t="s">
        <v>169</v>
      </c>
      <c r="B13" s="44" t="s">
        <v>185</v>
      </c>
      <c r="C13" s="39"/>
      <c r="D13" s="40"/>
      <c r="E13" s="54">
        <v>0</v>
      </c>
      <c r="F13" s="37">
        <f>ROUND(F14*1.25,3)</f>
        <v>3.896</v>
      </c>
      <c r="G13" s="37">
        <f>ROUND(E13*F13,2)</f>
        <v>0</v>
      </c>
      <c r="H13" s="37"/>
      <c r="I13" s="36"/>
      <c r="J13" s="5">
        <v>7</v>
      </c>
      <c r="K13" s="7">
        <v>1818.76</v>
      </c>
      <c r="L13" s="5"/>
      <c r="M13" s="10">
        <v>1977.75</v>
      </c>
      <c r="N13">
        <v>0.18</v>
      </c>
      <c r="O13">
        <v>231.975</v>
      </c>
      <c r="P13" s="18">
        <f t="shared" si="1"/>
        <v>0</v>
      </c>
      <c r="Q13" s="18">
        <f t="shared" si="0"/>
        <v>0</v>
      </c>
      <c r="R13" s="5"/>
      <c r="S13" s="4">
        <v>7</v>
      </c>
      <c r="T13" s="4"/>
      <c r="U13" s="4"/>
      <c r="V13" s="4"/>
      <c r="W13" s="4"/>
      <c r="X13" s="4"/>
      <c r="AA13" s="4">
        <v>7</v>
      </c>
      <c r="AB13" s="4"/>
      <c r="AC13" s="4"/>
      <c r="AD13" s="4"/>
      <c r="AE13" s="4"/>
      <c r="AF13" s="4"/>
      <c r="AG13" s="4"/>
      <c r="AH13" s="4"/>
      <c r="AJ13" s="4">
        <v>7</v>
      </c>
      <c r="AK13" s="4"/>
      <c r="AL13" s="4"/>
      <c r="AM13" s="4"/>
      <c r="AN13" s="4"/>
      <c r="AO13" s="4">
        <v>4</v>
      </c>
      <c r="AP13" s="20" t="s">
        <v>109</v>
      </c>
      <c r="AQ13" t="s">
        <v>23</v>
      </c>
      <c r="AR13" s="82"/>
    </row>
    <row r="14" spans="1:44" ht="12.75">
      <c r="A14" s="111" t="s">
        <v>170</v>
      </c>
      <c r="B14" s="44" t="s">
        <v>186</v>
      </c>
      <c r="C14" s="39"/>
      <c r="D14" s="40"/>
      <c r="E14" s="54">
        <v>0</v>
      </c>
      <c r="F14" s="37">
        <f>ROUND(($F$3/14.3489)*2.538,3)</f>
        <v>3.117</v>
      </c>
      <c r="G14" s="37">
        <f>ROUND(E14*F14,2)</f>
        <v>0</v>
      </c>
      <c r="H14" s="37"/>
      <c r="I14" s="36"/>
      <c r="J14" s="5">
        <v>8</v>
      </c>
      <c r="K14" s="7">
        <v>1977.76</v>
      </c>
      <c r="L14" s="5"/>
      <c r="M14" s="10">
        <v>2136.75</v>
      </c>
      <c r="N14">
        <v>0.2</v>
      </c>
      <c r="O14">
        <v>271.53</v>
      </c>
      <c r="P14" s="18">
        <f t="shared" si="1"/>
        <v>0</v>
      </c>
      <c r="Q14" s="18">
        <f t="shared" si="0"/>
        <v>0</v>
      </c>
      <c r="R14" s="5"/>
      <c r="S14" s="4">
        <v>8</v>
      </c>
      <c r="T14" s="4"/>
      <c r="U14" s="4"/>
      <c r="V14" s="4"/>
      <c r="W14" s="4"/>
      <c r="X14" s="4"/>
      <c r="AA14" s="4">
        <v>8</v>
      </c>
      <c r="AB14" s="4"/>
      <c r="AC14" s="4"/>
      <c r="AD14" s="4"/>
      <c r="AE14" s="4"/>
      <c r="AF14" s="4"/>
      <c r="AG14" s="4"/>
      <c r="AH14" s="4"/>
      <c r="AJ14" s="4">
        <v>8</v>
      </c>
      <c r="AK14" s="4"/>
      <c r="AL14" s="4"/>
      <c r="AM14" s="4"/>
      <c r="AN14" s="4"/>
      <c r="AO14" s="4">
        <v>4</v>
      </c>
      <c r="AP14" s="20" t="s">
        <v>110</v>
      </c>
      <c r="AQ14" t="s">
        <v>23</v>
      </c>
      <c r="AR14" s="83"/>
    </row>
    <row r="15" spans="1:44" ht="12.75">
      <c r="A15" s="111" t="s">
        <v>171</v>
      </c>
      <c r="B15" s="44" t="s">
        <v>187</v>
      </c>
      <c r="C15" s="39"/>
      <c r="D15" s="40"/>
      <c r="E15" s="54">
        <v>0</v>
      </c>
      <c r="F15" s="37">
        <f>ROUND(F14*0.5,3)</f>
        <v>1.559</v>
      </c>
      <c r="G15" s="37">
        <f>ROUND(E15*F15,2)</f>
        <v>0</v>
      </c>
      <c r="H15" s="37"/>
      <c r="I15" s="36"/>
      <c r="J15" s="5">
        <v>9</v>
      </c>
      <c r="K15" s="7">
        <v>2136.76</v>
      </c>
      <c r="L15" s="5"/>
      <c r="M15" s="10">
        <v>2295.75</v>
      </c>
      <c r="N15">
        <v>0.22</v>
      </c>
      <c r="O15">
        <v>314.265</v>
      </c>
      <c r="P15" s="18">
        <f t="shared" si="1"/>
        <v>0</v>
      </c>
      <c r="Q15" s="18">
        <f t="shared" si="0"/>
        <v>0</v>
      </c>
      <c r="R15" s="5"/>
      <c r="S15" s="4">
        <v>9</v>
      </c>
      <c r="T15" s="4"/>
      <c r="U15" s="4"/>
      <c r="V15" s="4"/>
      <c r="W15" s="4"/>
      <c r="X15" s="4"/>
      <c r="AA15" s="4">
        <v>9</v>
      </c>
      <c r="AB15" s="4"/>
      <c r="AC15" s="4"/>
      <c r="AD15" s="4"/>
      <c r="AE15" s="4"/>
      <c r="AF15" s="4"/>
      <c r="AG15" s="4"/>
      <c r="AH15" s="4"/>
      <c r="AJ15" s="4">
        <v>9</v>
      </c>
      <c r="AK15" s="4"/>
      <c r="AL15" s="4"/>
      <c r="AM15" s="4"/>
      <c r="AN15" s="4"/>
      <c r="AO15" s="4">
        <v>4</v>
      </c>
      <c r="AP15" s="20" t="s">
        <v>111</v>
      </c>
      <c r="AQ15" t="s">
        <v>23</v>
      </c>
      <c r="AR15" s="84"/>
    </row>
    <row r="16" spans="1:44" ht="12.75">
      <c r="A16" s="111" t="s">
        <v>172</v>
      </c>
      <c r="B16" s="44" t="s">
        <v>188</v>
      </c>
      <c r="C16" s="39"/>
      <c r="D16" s="40"/>
      <c r="E16" s="54">
        <v>0</v>
      </c>
      <c r="F16" s="37">
        <f>ROUND(F14*0.25,3)</f>
        <v>0.779</v>
      </c>
      <c r="G16" s="37">
        <f aca="true" t="shared" si="2" ref="G16:G25">ROUND(E16*F16+D16+(C16*$F$3),2)</f>
        <v>0</v>
      </c>
      <c r="H16" s="37"/>
      <c r="I16" s="36"/>
      <c r="J16" s="5">
        <v>10</v>
      </c>
      <c r="K16" s="7">
        <v>2295.76</v>
      </c>
      <c r="L16" s="5"/>
      <c r="M16" s="10">
        <v>2454.75</v>
      </c>
      <c r="N16">
        <v>0.24</v>
      </c>
      <c r="O16">
        <v>360.18</v>
      </c>
      <c r="P16" s="18">
        <f t="shared" si="1"/>
        <v>0</v>
      </c>
      <c r="Q16" s="18">
        <f t="shared" si="0"/>
        <v>0</v>
      </c>
      <c r="R16" s="5"/>
      <c r="S16" s="4">
        <v>10</v>
      </c>
      <c r="T16" s="4"/>
      <c r="U16" s="4"/>
      <c r="V16" s="4"/>
      <c r="W16" s="4"/>
      <c r="X16" s="4"/>
      <c r="AA16" s="4">
        <v>10</v>
      </c>
      <c r="AB16" s="4"/>
      <c r="AC16" s="4"/>
      <c r="AD16" s="4"/>
      <c r="AE16" s="4"/>
      <c r="AF16" s="4"/>
      <c r="AG16" s="4"/>
      <c r="AH16" s="4"/>
      <c r="AJ16" s="4">
        <v>10</v>
      </c>
      <c r="AK16" s="4"/>
      <c r="AL16" s="4"/>
      <c r="AM16" s="4"/>
      <c r="AN16" s="4"/>
      <c r="AO16" s="4">
        <v>4</v>
      </c>
      <c r="AP16" s="20" t="s">
        <v>112</v>
      </c>
      <c r="AQ16" t="s">
        <v>23</v>
      </c>
      <c r="AR16" s="83">
        <v>0</v>
      </c>
    </row>
    <row r="17" spans="1:44" ht="12.75">
      <c r="A17" s="111" t="s">
        <v>173</v>
      </c>
      <c r="B17" s="44" t="s">
        <v>167</v>
      </c>
      <c r="C17" s="41"/>
      <c r="D17" s="42"/>
      <c r="E17" s="56">
        <v>0</v>
      </c>
      <c r="F17" s="38">
        <f>$F$13*0.2</f>
        <v>0.7792</v>
      </c>
      <c r="G17" s="37">
        <f t="shared" si="2"/>
        <v>0</v>
      </c>
      <c r="H17" s="37"/>
      <c r="I17" s="36"/>
      <c r="J17" s="5">
        <v>11</v>
      </c>
      <c r="K17" s="7">
        <v>2454.76</v>
      </c>
      <c r="L17" s="5"/>
      <c r="M17" s="10">
        <v>2613.75</v>
      </c>
      <c r="N17">
        <v>0.26</v>
      </c>
      <c r="O17">
        <v>409.275</v>
      </c>
      <c r="P17" s="18">
        <f t="shared" si="1"/>
        <v>0</v>
      </c>
      <c r="Q17" s="18">
        <f t="shared" si="0"/>
        <v>0</v>
      </c>
      <c r="R17" s="5"/>
      <c r="S17" s="4">
        <v>11</v>
      </c>
      <c r="T17" s="4"/>
      <c r="U17" s="4"/>
      <c r="V17" s="4"/>
      <c r="W17" s="4"/>
      <c r="X17" s="4"/>
      <c r="AA17" s="4">
        <v>11</v>
      </c>
      <c r="AB17" s="4"/>
      <c r="AC17" s="4"/>
      <c r="AD17" s="4"/>
      <c r="AE17" s="4"/>
      <c r="AF17" s="4"/>
      <c r="AG17" s="4"/>
      <c r="AH17" s="4"/>
      <c r="AJ17" s="4">
        <v>11</v>
      </c>
      <c r="AK17" s="4"/>
      <c r="AL17" s="4"/>
      <c r="AM17" s="4"/>
      <c r="AN17" s="4"/>
      <c r="AO17" s="4">
        <v>5</v>
      </c>
      <c r="AP17" s="20" t="s">
        <v>113</v>
      </c>
      <c r="AQ17" t="s">
        <v>24</v>
      </c>
      <c r="AR17" s="83">
        <v>0.18</v>
      </c>
    </row>
    <row r="18" spans="1:44" ht="12.75">
      <c r="A18" s="111" t="s">
        <v>174</v>
      </c>
      <c r="B18" s="44" t="s">
        <v>168</v>
      </c>
      <c r="C18" s="41"/>
      <c r="D18" s="42"/>
      <c r="E18" s="56">
        <v>0</v>
      </c>
      <c r="F18" s="38">
        <f>$F$13*0.7</f>
        <v>2.7272</v>
      </c>
      <c r="G18" s="37">
        <f t="shared" si="2"/>
        <v>0</v>
      </c>
      <c r="H18" s="37"/>
      <c r="I18" s="36"/>
      <c r="J18" s="5">
        <v>12</v>
      </c>
      <c r="K18" s="7">
        <v>2613.76</v>
      </c>
      <c r="L18" s="5"/>
      <c r="M18" s="10">
        <v>2772.75</v>
      </c>
      <c r="N18">
        <v>0.28</v>
      </c>
      <c r="O18">
        <v>461.55</v>
      </c>
      <c r="P18" s="18">
        <f t="shared" si="1"/>
        <v>0</v>
      </c>
      <c r="Q18" s="18">
        <f t="shared" si="0"/>
        <v>0</v>
      </c>
      <c r="R18" s="5"/>
      <c r="S18" s="4">
        <v>12</v>
      </c>
      <c r="T18" s="4"/>
      <c r="U18" s="4"/>
      <c r="V18" s="4"/>
      <c r="W18" s="4"/>
      <c r="X18" s="4"/>
      <c r="AA18" s="4">
        <v>12</v>
      </c>
      <c r="AB18" s="4"/>
      <c r="AC18" s="4"/>
      <c r="AD18" s="4"/>
      <c r="AE18" s="4"/>
      <c r="AF18" s="4"/>
      <c r="AG18" s="4"/>
      <c r="AH18" s="4"/>
      <c r="AJ18" s="4">
        <v>12</v>
      </c>
      <c r="AK18" s="4"/>
      <c r="AL18" s="4"/>
      <c r="AM18" s="4"/>
      <c r="AN18" s="4"/>
      <c r="AO18" s="4">
        <v>5</v>
      </c>
      <c r="AP18" s="20" t="s">
        <v>114</v>
      </c>
      <c r="AQ18" t="s">
        <v>24</v>
      </c>
      <c r="AR18" s="83">
        <v>0.22</v>
      </c>
    </row>
    <row r="19" spans="1:44" ht="12.75">
      <c r="A19" s="111" t="s">
        <v>175</v>
      </c>
      <c r="B19" s="44" t="s">
        <v>189</v>
      </c>
      <c r="C19" s="41"/>
      <c r="D19" s="42"/>
      <c r="E19" s="56">
        <v>0</v>
      </c>
      <c r="F19" s="38">
        <f>$F$13</f>
        <v>3.896</v>
      </c>
      <c r="G19" s="37">
        <f t="shared" si="2"/>
        <v>0</v>
      </c>
      <c r="H19" s="37"/>
      <c r="I19" s="36"/>
      <c r="J19" s="5">
        <v>13</v>
      </c>
      <c r="K19" s="7">
        <v>2772.76</v>
      </c>
      <c r="L19" s="5"/>
      <c r="M19" s="10">
        <v>2931.75</v>
      </c>
      <c r="N19">
        <v>0.3</v>
      </c>
      <c r="O19">
        <v>517.005</v>
      </c>
      <c r="P19" s="18">
        <f>IF(Rp&gt;M19,0,IF(Rp&gt;K19,N19,0))</f>
        <v>0</v>
      </c>
      <c r="Q19" s="18">
        <f t="shared" si="0"/>
        <v>0</v>
      </c>
      <c r="R19" s="5"/>
      <c r="S19" s="4">
        <v>13</v>
      </c>
      <c r="T19" s="4"/>
      <c r="U19" s="4"/>
      <c r="V19" s="4"/>
      <c r="W19" s="4"/>
      <c r="X19" s="4"/>
      <c r="AA19" s="4">
        <v>13</v>
      </c>
      <c r="AB19" s="4"/>
      <c r="AC19" s="4"/>
      <c r="AD19" s="4"/>
      <c r="AE19" s="4"/>
      <c r="AF19" s="4"/>
      <c r="AG19" s="4"/>
      <c r="AH19" s="4"/>
      <c r="AJ19" s="4">
        <v>13</v>
      </c>
      <c r="AK19" s="4"/>
      <c r="AL19" s="4"/>
      <c r="AM19" s="4"/>
      <c r="AN19" s="4"/>
      <c r="AO19" s="4">
        <v>5</v>
      </c>
      <c r="AP19" s="20" t="s">
        <v>115</v>
      </c>
      <c r="AQ19" t="s">
        <v>24</v>
      </c>
      <c r="AR19" s="83">
        <v>0.34</v>
      </c>
    </row>
    <row r="20" spans="1:44" ht="12.75">
      <c r="A20" s="111" t="s">
        <v>176</v>
      </c>
      <c r="B20" s="44" t="s">
        <v>190</v>
      </c>
      <c r="C20" s="39"/>
      <c r="D20" s="40"/>
      <c r="E20" s="54">
        <v>0</v>
      </c>
      <c r="F20" s="37">
        <f>F14*0.2</f>
        <v>0.6234000000000001</v>
      </c>
      <c r="G20" s="37">
        <f t="shared" si="2"/>
        <v>0</v>
      </c>
      <c r="H20" s="37"/>
      <c r="I20" s="36"/>
      <c r="J20" s="5">
        <v>14</v>
      </c>
      <c r="K20" s="7">
        <v>2931.76</v>
      </c>
      <c r="L20" s="5"/>
      <c r="M20" s="10">
        <v>3090.75</v>
      </c>
      <c r="N20">
        <v>0.32</v>
      </c>
      <c r="O20">
        <v>575.64</v>
      </c>
      <c r="P20" s="18">
        <f t="shared" si="1"/>
        <v>0</v>
      </c>
      <c r="Q20" s="18">
        <f t="shared" si="0"/>
        <v>0</v>
      </c>
      <c r="R20" s="5"/>
      <c r="S20" s="4">
        <v>14</v>
      </c>
      <c r="T20" s="4"/>
      <c r="U20" s="4"/>
      <c r="V20" s="4"/>
      <c r="W20" s="4"/>
      <c r="X20" s="4"/>
      <c r="AA20" s="4">
        <v>14</v>
      </c>
      <c r="AB20" s="4"/>
      <c r="AC20" s="4"/>
      <c r="AD20" s="4"/>
      <c r="AE20" s="4"/>
      <c r="AF20" s="4"/>
      <c r="AG20" s="4"/>
      <c r="AH20" s="4"/>
      <c r="AJ20" s="4">
        <v>14</v>
      </c>
      <c r="AK20" s="4"/>
      <c r="AL20" s="4"/>
      <c r="AM20" s="4"/>
      <c r="AN20" s="4"/>
      <c r="AO20" s="4">
        <v>5</v>
      </c>
      <c r="AP20" s="20" t="s">
        <v>116</v>
      </c>
      <c r="AQ20" t="s">
        <v>24</v>
      </c>
      <c r="AR20" s="83">
        <v>0.36</v>
      </c>
    </row>
    <row r="21" spans="1:44" ht="13.5" thickBot="1">
      <c r="A21" s="111" t="s">
        <v>177</v>
      </c>
      <c r="B21" s="44" t="s">
        <v>165</v>
      </c>
      <c r="C21" s="39"/>
      <c r="D21" s="40"/>
      <c r="E21" s="54">
        <v>0</v>
      </c>
      <c r="F21" s="37">
        <f>F14*0.7</f>
        <v>2.1818999999999997</v>
      </c>
      <c r="G21" s="37">
        <f t="shared" si="2"/>
        <v>0</v>
      </c>
      <c r="H21" s="37"/>
      <c r="I21" s="36"/>
      <c r="J21" s="5">
        <v>15</v>
      </c>
      <c r="K21" s="7">
        <v>3090.76</v>
      </c>
      <c r="L21" s="6"/>
      <c r="M21" s="10">
        <v>3249.75</v>
      </c>
      <c r="N21">
        <v>0.34</v>
      </c>
      <c r="O21">
        <v>637.455</v>
      </c>
      <c r="P21" s="18">
        <f t="shared" si="1"/>
        <v>0</v>
      </c>
      <c r="Q21" s="18">
        <f t="shared" si="0"/>
        <v>0</v>
      </c>
      <c r="R21" s="5"/>
      <c r="S21" s="4">
        <v>15</v>
      </c>
      <c r="T21" s="4"/>
      <c r="U21" s="4"/>
      <c r="V21" s="4"/>
      <c r="W21" s="4"/>
      <c r="X21" s="4"/>
      <c r="AA21" s="4">
        <v>15</v>
      </c>
      <c r="AB21" s="4"/>
      <c r="AC21" s="4"/>
      <c r="AD21" s="4"/>
      <c r="AE21" s="4"/>
      <c r="AF21" s="4"/>
      <c r="AG21" s="4"/>
      <c r="AH21" s="4"/>
      <c r="AJ21" s="4">
        <v>15</v>
      </c>
      <c r="AK21" s="4"/>
      <c r="AL21" s="4"/>
      <c r="AM21" s="4"/>
      <c r="AN21" s="4"/>
      <c r="AO21" s="4">
        <v>5</v>
      </c>
      <c r="AP21" s="20" t="s">
        <v>117</v>
      </c>
      <c r="AQ21" t="s">
        <v>24</v>
      </c>
      <c r="AR21" s="85">
        <v>0.38</v>
      </c>
    </row>
    <row r="22" spans="1:43" ht="12.75">
      <c r="A22" s="111" t="s">
        <v>178</v>
      </c>
      <c r="B22" s="44" t="s">
        <v>166</v>
      </c>
      <c r="C22" s="39"/>
      <c r="D22" s="40"/>
      <c r="E22" s="54">
        <v>0</v>
      </c>
      <c r="F22" s="37">
        <f>F14*1</f>
        <v>3.117</v>
      </c>
      <c r="G22" s="37">
        <f t="shared" si="2"/>
        <v>0</v>
      </c>
      <c r="H22" s="37"/>
      <c r="I22" s="36"/>
      <c r="J22" s="5">
        <v>16</v>
      </c>
      <c r="K22" s="7">
        <v>3249.76</v>
      </c>
      <c r="L22" s="6"/>
      <c r="M22" s="10">
        <v>3408.75</v>
      </c>
      <c r="N22">
        <v>0.36</v>
      </c>
      <c r="O22">
        <v>702.45</v>
      </c>
      <c r="P22" s="18">
        <f>IF(Rp&gt;M22,0,IF(Rp&gt;K22,N22,0))</f>
        <v>0</v>
      </c>
      <c r="Q22" s="18">
        <f t="shared" si="0"/>
        <v>0</v>
      </c>
      <c r="R22" s="5"/>
      <c r="S22" s="4">
        <v>16</v>
      </c>
      <c r="T22" s="4"/>
      <c r="U22" s="4"/>
      <c r="V22" s="4"/>
      <c r="W22" s="4"/>
      <c r="X22" s="4"/>
      <c r="AA22" s="4">
        <v>16</v>
      </c>
      <c r="AB22" s="4"/>
      <c r="AC22" s="4"/>
      <c r="AD22" s="4"/>
      <c r="AE22" s="4"/>
      <c r="AF22" s="4"/>
      <c r="AG22" s="4"/>
      <c r="AH22" s="4"/>
      <c r="AJ22" s="4">
        <v>16</v>
      </c>
      <c r="AK22" s="4"/>
      <c r="AL22" s="4"/>
      <c r="AM22" s="4"/>
      <c r="AN22" s="4"/>
      <c r="AO22" s="4">
        <v>5</v>
      </c>
      <c r="AP22" s="20" t="s">
        <v>118</v>
      </c>
      <c r="AQ22" t="s">
        <v>24</v>
      </c>
    </row>
    <row r="23" spans="1:46" ht="12.75">
      <c r="A23" s="111" t="s">
        <v>179</v>
      </c>
      <c r="B23" s="44" t="s">
        <v>191</v>
      </c>
      <c r="C23" s="41"/>
      <c r="D23" s="42"/>
      <c r="E23" s="56">
        <v>0</v>
      </c>
      <c r="F23" s="38">
        <f>$F$15*0.2</f>
        <v>0.3118</v>
      </c>
      <c r="G23" s="37">
        <f t="shared" si="2"/>
        <v>0</v>
      </c>
      <c r="H23" s="37"/>
      <c r="I23" s="36"/>
      <c r="J23" s="5">
        <v>17</v>
      </c>
      <c r="K23" s="7">
        <v>3408.76</v>
      </c>
      <c r="L23" s="5"/>
      <c r="M23" s="10">
        <v>3567.75</v>
      </c>
      <c r="N23">
        <v>0.38</v>
      </c>
      <c r="O23">
        <v>770.625</v>
      </c>
      <c r="P23" s="18">
        <f>IF(Rp&gt;M23,0,IF(Rp&gt;K23,N23,0))</f>
        <v>0</v>
      </c>
      <c r="Q23" s="18">
        <f t="shared" si="0"/>
        <v>0</v>
      </c>
      <c r="R23" s="5"/>
      <c r="S23" s="4">
        <v>17</v>
      </c>
      <c r="T23" s="4"/>
      <c r="U23" s="4"/>
      <c r="V23" s="4"/>
      <c r="W23" s="4"/>
      <c r="X23" s="4"/>
      <c r="AA23" s="4">
        <v>17</v>
      </c>
      <c r="AB23" s="4"/>
      <c r="AC23" s="4"/>
      <c r="AD23" s="4"/>
      <c r="AE23" s="4"/>
      <c r="AF23" s="4"/>
      <c r="AG23" s="4"/>
      <c r="AH23" s="4"/>
      <c r="AJ23" s="4">
        <v>17</v>
      </c>
      <c r="AK23" s="4"/>
      <c r="AL23" s="4"/>
      <c r="AM23" s="4"/>
      <c r="AN23" s="4"/>
      <c r="AO23" s="4">
        <v>5</v>
      </c>
      <c r="AP23" s="20" t="s">
        <v>119</v>
      </c>
      <c r="AQ23" t="s">
        <v>24</v>
      </c>
      <c r="AR23" s="26" t="s">
        <v>70</v>
      </c>
      <c r="AS23" s="26"/>
      <c r="AT23" s="27">
        <v>0</v>
      </c>
    </row>
    <row r="24" spans="1:46" ht="12.75">
      <c r="A24" s="111" t="s">
        <v>180</v>
      </c>
      <c r="B24" s="44" t="s">
        <v>192</v>
      </c>
      <c r="C24" s="41"/>
      <c r="D24" s="42"/>
      <c r="E24" s="56">
        <v>0</v>
      </c>
      <c r="F24" s="38">
        <f>$F$15*0.7</f>
        <v>1.0913</v>
      </c>
      <c r="G24" s="37">
        <f t="shared" si="2"/>
        <v>0</v>
      </c>
      <c r="H24" s="37"/>
      <c r="I24" s="36"/>
      <c r="J24" s="5">
        <v>18</v>
      </c>
      <c r="K24" s="7">
        <v>3567.76</v>
      </c>
      <c r="L24" s="5"/>
      <c r="M24" s="10">
        <v>8418.33</v>
      </c>
      <c r="N24">
        <v>0.39</v>
      </c>
      <c r="O24">
        <v>806.3025</v>
      </c>
      <c r="P24" s="18">
        <f>IF(Rp&gt;M24,0,IF(Rp&gt;K24,N24,0))</f>
        <v>0</v>
      </c>
      <c r="Q24" s="18">
        <f t="shared" si="0"/>
        <v>0</v>
      </c>
      <c r="R24" s="5"/>
      <c r="S24" s="4">
        <v>18</v>
      </c>
      <c r="T24" s="4"/>
      <c r="U24" s="4"/>
      <c r="V24" s="4"/>
      <c r="W24" s="4"/>
      <c r="X24" s="4"/>
      <c r="AA24" s="4">
        <v>18</v>
      </c>
      <c r="AB24" s="4"/>
      <c r="AC24" s="4"/>
      <c r="AD24" s="4"/>
      <c r="AE24" s="4"/>
      <c r="AF24" s="4"/>
      <c r="AG24" s="4"/>
      <c r="AH24" s="4"/>
      <c r="AJ24" s="4">
        <v>18</v>
      </c>
      <c r="AK24" s="4"/>
      <c r="AL24" s="4"/>
      <c r="AM24" s="4"/>
      <c r="AN24" s="4"/>
      <c r="AO24" s="4">
        <v>5</v>
      </c>
      <c r="AP24" s="20" t="s">
        <v>120</v>
      </c>
      <c r="AQ24" t="s">
        <v>24</v>
      </c>
      <c r="AR24" s="26" t="s">
        <v>71</v>
      </c>
      <c r="AS24" s="26"/>
      <c r="AT24" s="27">
        <v>99</v>
      </c>
    </row>
    <row r="25" spans="1:46" ht="12.75">
      <c r="A25" s="111" t="s">
        <v>181</v>
      </c>
      <c r="B25" s="44" t="s">
        <v>193</v>
      </c>
      <c r="C25" s="41"/>
      <c r="D25" s="42"/>
      <c r="E25" s="56">
        <v>0</v>
      </c>
      <c r="F25" s="38">
        <f>$F$15</f>
        <v>1.559</v>
      </c>
      <c r="G25" s="37">
        <f t="shared" si="2"/>
        <v>0</v>
      </c>
      <c r="H25" s="37"/>
      <c r="I25" s="36"/>
      <c r="J25" s="5">
        <v>19</v>
      </c>
      <c r="K25" s="7">
        <v>8418.34</v>
      </c>
      <c r="L25" s="5"/>
      <c r="M25" s="10">
        <v>9999999.99</v>
      </c>
      <c r="N25">
        <v>0.4</v>
      </c>
      <c r="O25">
        <v>890.48583</v>
      </c>
      <c r="P25" s="18">
        <f>IF(Rp&gt;M25,0,IF(Rp&gt;K25,N25,0))</f>
        <v>0</v>
      </c>
      <c r="Q25" s="18">
        <f t="shared" si="0"/>
        <v>0</v>
      </c>
      <c r="R25" s="5"/>
      <c r="S25" s="4">
        <v>19</v>
      </c>
      <c r="T25" s="4"/>
      <c r="U25" s="4"/>
      <c r="V25" s="4"/>
      <c r="W25" s="4"/>
      <c r="X25" s="4"/>
      <c r="AA25" s="4">
        <v>19</v>
      </c>
      <c r="AB25" s="4"/>
      <c r="AC25" s="4"/>
      <c r="AD25" s="4"/>
      <c r="AE25" s="4"/>
      <c r="AF25" s="4"/>
      <c r="AG25" s="4"/>
      <c r="AH25" s="4"/>
      <c r="AJ25" s="4">
        <v>19</v>
      </c>
      <c r="AK25" s="4"/>
      <c r="AL25" s="4"/>
      <c r="AM25" s="4"/>
      <c r="AN25" s="4"/>
      <c r="AO25" s="4">
        <v>5</v>
      </c>
      <c r="AP25" s="20" t="s">
        <v>121</v>
      </c>
      <c r="AQ25" t="s">
        <v>24</v>
      </c>
      <c r="AR25" s="26" t="s">
        <v>72</v>
      </c>
      <c r="AS25" s="26"/>
      <c r="AT25" s="26">
        <f>(IF(C6&gt;29,(AT23+26*AT24),(IF((C6-4)&gt;=0,C6-4,0)*AT24+AT23)))/12</f>
        <v>24.75</v>
      </c>
    </row>
    <row r="26" spans="1:46" ht="12.75">
      <c r="A26" s="111" t="s">
        <v>182</v>
      </c>
      <c r="B26" s="38" t="s">
        <v>152</v>
      </c>
      <c r="C26" s="39"/>
      <c r="D26" s="40"/>
      <c r="E26" s="54">
        <v>0</v>
      </c>
      <c r="F26" s="37">
        <f>ROUND((SUM($G$13:$G$25)+($D$9*$F$12)+$G$42)/$D$9*0.7,4)</f>
        <v>8.3322</v>
      </c>
      <c r="G26" s="37">
        <f aca="true" t="shared" si="3" ref="G26:G31">ROUND(E26*F26+(C26*$F$3),2)</f>
        <v>0</v>
      </c>
      <c r="H26" s="37"/>
      <c r="I26" s="36"/>
      <c r="J26" s="5"/>
      <c r="K26" s="5"/>
      <c r="L26" s="5"/>
      <c r="M26" s="9"/>
      <c r="N26" s="5"/>
      <c r="O26" s="5"/>
      <c r="P26" s="5"/>
      <c r="Q26" s="5"/>
      <c r="R26" s="5"/>
      <c r="S26" s="4">
        <v>20</v>
      </c>
      <c r="T26" s="4"/>
      <c r="U26" s="4"/>
      <c r="V26" s="4"/>
      <c r="W26" s="4"/>
      <c r="X26" s="4"/>
      <c r="AA26" s="4">
        <v>20</v>
      </c>
      <c r="AB26" s="4"/>
      <c r="AC26" s="4"/>
      <c r="AD26" s="4"/>
      <c r="AE26" s="4"/>
      <c r="AF26" s="4"/>
      <c r="AG26" s="4"/>
      <c r="AH26" s="4"/>
      <c r="AJ26" s="4">
        <v>20</v>
      </c>
      <c r="AK26" s="4"/>
      <c r="AL26" s="4"/>
      <c r="AM26" s="4"/>
      <c r="AN26" s="4"/>
      <c r="AO26" s="4">
        <v>9</v>
      </c>
      <c r="AP26" s="21" t="s">
        <v>122</v>
      </c>
      <c r="AQ26" t="s">
        <v>25</v>
      </c>
      <c r="AR26" s="26"/>
      <c r="AS26" s="26"/>
      <c r="AT26" s="26"/>
    </row>
    <row r="27" spans="1:46" ht="12.75">
      <c r="A27" s="111" t="s">
        <v>183</v>
      </c>
      <c r="B27" s="38" t="s">
        <v>153</v>
      </c>
      <c r="C27" s="39"/>
      <c r="D27" s="40"/>
      <c r="E27" s="54">
        <v>0</v>
      </c>
      <c r="F27" s="37">
        <f>ROUND((SUM($G$13:$G$25)+($D$9*$F$12)+$G$42)/$D$9,4)</f>
        <v>11.9032</v>
      </c>
      <c r="G27" s="37">
        <f t="shared" si="3"/>
        <v>0</v>
      </c>
      <c r="H27" s="37"/>
      <c r="I27" s="36"/>
      <c r="J27" s="5"/>
      <c r="K27" s="7">
        <f>SUM(K7:K25)</f>
        <v>47446.26000000001</v>
      </c>
      <c r="L27" s="5"/>
      <c r="M27" s="10">
        <f>SUM(M7:M25)</f>
        <v>10047446.07</v>
      </c>
      <c r="N27" s="11">
        <f>SUM(N7:N25)</f>
        <v>4.47</v>
      </c>
      <c r="O27" s="67">
        <f>SUM(O7:O25)</f>
        <v>7626.58833</v>
      </c>
      <c r="P27" s="5">
        <f>SUM(P7:P25)</f>
        <v>0.16</v>
      </c>
      <c r="Q27" s="5">
        <f>SUM(Q7:Q25)</f>
        <v>195.6</v>
      </c>
      <c r="R27" s="5"/>
      <c r="S27" s="4">
        <v>21</v>
      </c>
      <c r="T27" s="4"/>
      <c r="U27" s="4"/>
      <c r="V27" s="4"/>
      <c r="W27" s="4"/>
      <c r="X27" s="4"/>
      <c r="AA27" s="4">
        <v>21</v>
      </c>
      <c r="AB27" s="4"/>
      <c r="AC27" s="4"/>
      <c r="AD27" s="4"/>
      <c r="AE27" s="4"/>
      <c r="AF27" s="4"/>
      <c r="AG27" s="4"/>
      <c r="AH27" s="4"/>
      <c r="AJ27" s="4">
        <v>21</v>
      </c>
      <c r="AK27" s="4"/>
      <c r="AL27" s="4"/>
      <c r="AM27" s="4"/>
      <c r="AN27" s="4"/>
      <c r="AO27" s="4">
        <v>10</v>
      </c>
      <c r="AP27" s="21" t="s">
        <v>123</v>
      </c>
      <c r="AQ27" t="s">
        <v>26</v>
      </c>
      <c r="AR27" s="26"/>
      <c r="AS27" s="26"/>
      <c r="AT27" s="26"/>
    </row>
    <row r="28" spans="1:46" ht="12.75">
      <c r="A28" s="111" t="s">
        <v>184</v>
      </c>
      <c r="B28" s="38" t="s">
        <v>154</v>
      </c>
      <c r="C28" s="39"/>
      <c r="D28" s="40"/>
      <c r="E28" s="54">
        <v>0</v>
      </c>
      <c r="F28" s="37">
        <f>ROUND((SUM($G$13:$G$25)+($D$9*$F$12)+$G$42)/$D$9*0.2,4)</f>
        <v>2.3806</v>
      </c>
      <c r="G28" s="37">
        <f t="shared" si="3"/>
        <v>0</v>
      </c>
      <c r="H28" s="37"/>
      <c r="I28" s="36"/>
      <c r="J28" s="5"/>
      <c r="K28" s="5"/>
      <c r="L28" s="5"/>
      <c r="M28" s="9"/>
      <c r="N28" s="5"/>
      <c r="O28" s="5"/>
      <c r="P28" s="5"/>
      <c r="Q28" s="5"/>
      <c r="R28" s="5"/>
      <c r="S28" s="4">
        <v>22</v>
      </c>
      <c r="T28" s="4"/>
      <c r="U28" s="4"/>
      <c r="V28" s="4"/>
      <c r="W28" s="4"/>
      <c r="X28" s="4"/>
      <c r="AA28" s="4">
        <v>22</v>
      </c>
      <c r="AB28" s="4"/>
      <c r="AC28" s="4"/>
      <c r="AD28" s="4"/>
      <c r="AE28" s="4"/>
      <c r="AF28" s="4"/>
      <c r="AG28" s="4"/>
      <c r="AH28" s="4"/>
      <c r="AJ28" s="4">
        <v>22</v>
      </c>
      <c r="AK28" s="4"/>
      <c r="AL28" s="4"/>
      <c r="AM28" s="4"/>
      <c r="AN28" s="4"/>
      <c r="AO28" s="4">
        <v>11</v>
      </c>
      <c r="AP28" s="21" t="s">
        <v>124</v>
      </c>
      <c r="AQ28" t="s">
        <v>27</v>
      </c>
      <c r="AR28" s="26"/>
      <c r="AS28" s="26"/>
      <c r="AT28" s="26"/>
    </row>
    <row r="29" spans="1:43" ht="12.75">
      <c r="A29" s="111" t="s">
        <v>225</v>
      </c>
      <c r="B29" s="38" t="s">
        <v>149</v>
      </c>
      <c r="C29" s="39"/>
      <c r="D29" s="40"/>
      <c r="E29" s="54"/>
      <c r="F29" s="37">
        <f>ROUND((SUM($G$13:$G$25)+($D$9*$F$12)+$G$42)/$D$9*0.7,4)</f>
        <v>8.3322</v>
      </c>
      <c r="G29" s="37">
        <f t="shared" si="3"/>
        <v>0</v>
      </c>
      <c r="H29" s="37"/>
      <c r="I29" s="36"/>
      <c r="J29" s="5"/>
      <c r="K29" s="5"/>
      <c r="L29" s="2"/>
      <c r="M29" s="5"/>
      <c r="N29" s="5"/>
      <c r="O29" s="2"/>
      <c r="P29" s="2"/>
      <c r="Q29" s="5"/>
      <c r="R29" s="5"/>
      <c r="S29" s="4">
        <v>23</v>
      </c>
      <c r="T29" s="4"/>
      <c r="U29" s="4"/>
      <c r="V29" s="4"/>
      <c r="W29" s="4"/>
      <c r="X29" s="4"/>
      <c r="AA29" s="4">
        <v>23</v>
      </c>
      <c r="AB29" s="4"/>
      <c r="AC29" s="4"/>
      <c r="AD29" s="4"/>
      <c r="AE29" s="4"/>
      <c r="AF29" s="4"/>
      <c r="AG29" s="4"/>
      <c r="AH29" s="4"/>
      <c r="AJ29" s="4">
        <v>23</v>
      </c>
      <c r="AK29" s="4"/>
      <c r="AL29" s="4"/>
      <c r="AM29" s="4"/>
      <c r="AN29" s="4"/>
      <c r="AO29" s="4">
        <v>11</v>
      </c>
      <c r="AP29" s="21" t="s">
        <v>125</v>
      </c>
      <c r="AQ29" t="s">
        <v>27</v>
      </c>
    </row>
    <row r="30" spans="1:43" ht="12.75">
      <c r="A30" s="111" t="s">
        <v>226</v>
      </c>
      <c r="B30" s="38" t="s">
        <v>150</v>
      </c>
      <c r="C30" s="39"/>
      <c r="D30" s="40"/>
      <c r="E30" s="54"/>
      <c r="F30" s="37">
        <f>ROUND((SUM($G$13:$G$25)+($D$9*$F$12)+$G$42)/$D$9,4)</f>
        <v>11.9032</v>
      </c>
      <c r="G30" s="37">
        <f t="shared" si="3"/>
        <v>0</v>
      </c>
      <c r="H30" s="37"/>
      <c r="I30" s="36"/>
      <c r="S30" s="4">
        <v>24</v>
      </c>
      <c r="T30" s="4"/>
      <c r="U30" s="4"/>
      <c r="V30" s="4"/>
      <c r="W30" s="4"/>
      <c r="X30" s="4"/>
      <c r="AA30" s="4">
        <v>24</v>
      </c>
      <c r="AB30" s="4"/>
      <c r="AC30" s="4"/>
      <c r="AD30" s="4"/>
      <c r="AE30" s="4"/>
      <c r="AF30" s="4"/>
      <c r="AG30" s="4"/>
      <c r="AH30" s="4"/>
      <c r="AJ30" s="4">
        <v>24</v>
      </c>
      <c r="AK30" s="4"/>
      <c r="AL30" s="4"/>
      <c r="AM30" s="4"/>
      <c r="AN30" s="4"/>
      <c r="AO30" s="4">
        <v>12</v>
      </c>
      <c r="AP30" s="21" t="s">
        <v>126</v>
      </c>
      <c r="AQ30" t="s">
        <v>28</v>
      </c>
    </row>
    <row r="31" spans="1:43" ht="12.75">
      <c r="A31" s="38" t="s">
        <v>224</v>
      </c>
      <c r="B31" s="38" t="s">
        <v>151</v>
      </c>
      <c r="C31" s="39"/>
      <c r="D31" s="40"/>
      <c r="E31" s="54">
        <v>0</v>
      </c>
      <c r="F31" s="37">
        <f>ROUND((SUM($G$13:$G$25)+($D$9*$F$12)+$G$42)/$D$9*0.2,4)</f>
        <v>2.3806</v>
      </c>
      <c r="G31" s="37">
        <f t="shared" si="3"/>
        <v>0</v>
      </c>
      <c r="H31" s="37"/>
      <c r="I31" s="36"/>
      <c r="K31">
        <v>1</v>
      </c>
      <c r="L31" s="1" t="s">
        <v>8</v>
      </c>
      <c r="N31" s="1"/>
      <c r="O31" s="1"/>
      <c r="S31" s="4">
        <v>25</v>
      </c>
      <c r="T31" s="4"/>
      <c r="U31" s="4"/>
      <c r="V31" s="4"/>
      <c r="W31" s="4"/>
      <c r="X31" s="4"/>
      <c r="AA31" s="4">
        <v>25</v>
      </c>
      <c r="AB31" s="4"/>
      <c r="AC31" s="4"/>
      <c r="AD31" s="4"/>
      <c r="AE31" s="4"/>
      <c r="AF31" s="4"/>
      <c r="AG31" s="4"/>
      <c r="AH31" s="4"/>
      <c r="AJ31" s="4">
        <v>25</v>
      </c>
      <c r="AK31" s="4"/>
      <c r="AL31" s="4"/>
      <c r="AM31" s="4"/>
      <c r="AN31" s="4"/>
      <c r="AO31" s="4">
        <v>12</v>
      </c>
      <c r="AP31" s="97" t="s">
        <v>127</v>
      </c>
      <c r="AQ31" t="s">
        <v>28</v>
      </c>
    </row>
    <row r="32" spans="1:43" ht="12.75">
      <c r="A32" s="38" t="s">
        <v>218</v>
      </c>
      <c r="B32" s="37" t="s">
        <v>221</v>
      </c>
      <c r="C32" s="39"/>
      <c r="D32" s="40"/>
      <c r="E32" s="54">
        <v>0</v>
      </c>
      <c r="F32" s="37">
        <f>$F$12</f>
        <v>11.9032</v>
      </c>
      <c r="G32" s="37">
        <f>ROUND(E32*F32+D32+(C32*$F$3),2)</f>
        <v>0</v>
      </c>
      <c r="H32" s="37"/>
      <c r="I32" s="36"/>
      <c r="L32" s="1" t="s">
        <v>5</v>
      </c>
      <c r="M32" s="1"/>
      <c r="O32" s="14" t="s">
        <v>14</v>
      </c>
      <c r="S32" s="4">
        <v>26</v>
      </c>
      <c r="T32" s="4"/>
      <c r="U32" s="4"/>
      <c r="V32" s="4"/>
      <c r="W32" s="4"/>
      <c r="X32" s="4"/>
      <c r="AA32" s="4">
        <v>26</v>
      </c>
      <c r="AB32" s="4"/>
      <c r="AC32" s="4"/>
      <c r="AD32" s="4"/>
      <c r="AE32" s="4"/>
      <c r="AF32" s="4"/>
      <c r="AG32" s="4"/>
      <c r="AH32" s="4"/>
      <c r="AJ32" s="4">
        <v>26</v>
      </c>
      <c r="AK32" s="4"/>
      <c r="AL32" s="4"/>
      <c r="AM32" s="4"/>
      <c r="AN32" s="4"/>
      <c r="AO32" s="4">
        <v>12</v>
      </c>
      <c r="AP32" s="20" t="s">
        <v>128</v>
      </c>
      <c r="AQ32" t="s">
        <v>28</v>
      </c>
    </row>
    <row r="33" spans="1:43" ht="12.75">
      <c r="A33" s="38" t="s">
        <v>222</v>
      </c>
      <c r="B33" s="37" t="s">
        <v>223</v>
      </c>
      <c r="C33" s="39"/>
      <c r="D33" s="40"/>
      <c r="E33" s="54"/>
      <c r="F33" s="37">
        <f>$F$12</f>
        <v>11.9032</v>
      </c>
      <c r="G33" s="37"/>
      <c r="H33" s="37"/>
      <c r="I33" s="36"/>
      <c r="L33" s="1" t="s">
        <v>6</v>
      </c>
      <c r="N33" s="1"/>
      <c r="O33" s="14"/>
      <c r="S33" s="4">
        <v>26</v>
      </c>
      <c r="T33" s="4"/>
      <c r="U33" s="4"/>
      <c r="V33" s="4"/>
      <c r="W33" s="4"/>
      <c r="X33" s="4"/>
      <c r="AA33" s="4">
        <v>26</v>
      </c>
      <c r="AB33" s="4"/>
      <c r="AC33" s="4"/>
      <c r="AD33" s="4"/>
      <c r="AE33" s="4"/>
      <c r="AF33" s="4"/>
      <c r="AG33" s="4"/>
      <c r="AH33" s="4"/>
      <c r="AJ33" s="4">
        <v>27</v>
      </c>
      <c r="AK33" s="4"/>
      <c r="AL33" s="4"/>
      <c r="AM33" s="4"/>
      <c r="AN33" s="4"/>
      <c r="AO33" s="4">
        <v>12</v>
      </c>
      <c r="AP33" s="20" t="s">
        <v>129</v>
      </c>
      <c r="AQ33" t="s">
        <v>28</v>
      </c>
    </row>
    <row r="34" spans="1:43" ht="13.5" thickBot="1">
      <c r="A34" s="111" t="s">
        <v>217</v>
      </c>
      <c r="B34" s="38" t="s">
        <v>216</v>
      </c>
      <c r="C34" s="119" t="s">
        <v>233</v>
      </c>
      <c r="D34" s="118">
        <v>0</v>
      </c>
      <c r="E34" s="54">
        <v>0</v>
      </c>
      <c r="F34" s="37">
        <f>IF(D34=0,ROUND($C$66+$H$66,4),D34)</f>
        <v>11.9032</v>
      </c>
      <c r="G34" s="37">
        <f>ROUND(E34*F34,2)</f>
        <v>0</v>
      </c>
      <c r="H34" s="37"/>
      <c r="I34" s="36"/>
      <c r="L34" s="1" t="s">
        <v>7</v>
      </c>
      <c r="O34" s="14"/>
      <c r="S34" s="4">
        <v>26</v>
      </c>
      <c r="T34" s="4"/>
      <c r="U34" s="4"/>
      <c r="V34" s="4"/>
      <c r="W34" s="4"/>
      <c r="X34" s="4"/>
      <c r="AA34" s="4">
        <v>26</v>
      </c>
      <c r="AB34" s="4"/>
      <c r="AC34" s="4"/>
      <c r="AD34" s="4"/>
      <c r="AE34" s="4"/>
      <c r="AF34" s="4"/>
      <c r="AG34" s="4"/>
      <c r="AH34" s="4"/>
      <c r="AJ34" s="4">
        <v>28</v>
      </c>
      <c r="AK34" s="4"/>
      <c r="AL34" s="4"/>
      <c r="AM34" s="4"/>
      <c r="AN34" s="4"/>
      <c r="AO34" s="4">
        <v>13</v>
      </c>
      <c r="AP34" s="21" t="s">
        <v>130</v>
      </c>
      <c r="AQ34" t="s">
        <v>29</v>
      </c>
    </row>
    <row r="35" spans="1:43" ht="12.75">
      <c r="A35" s="38" t="s">
        <v>219</v>
      </c>
      <c r="B35" s="38" t="s">
        <v>220</v>
      </c>
      <c r="C35" s="39"/>
      <c r="D35" s="40"/>
      <c r="E35" s="54"/>
      <c r="F35" s="37">
        <f>$F$12</f>
        <v>11.9032</v>
      </c>
      <c r="G35" s="37">
        <f>ROUND(E35*F35,2)</f>
        <v>0</v>
      </c>
      <c r="H35" s="37"/>
      <c r="I35" s="36"/>
      <c r="L35" s="68" t="s">
        <v>11</v>
      </c>
      <c r="M35" s="69"/>
      <c r="N35" s="70">
        <v>0</v>
      </c>
      <c r="O35" s="14"/>
      <c r="Q35" s="88">
        <f>$AR$5</f>
        <v>1</v>
      </c>
      <c r="R35" s="89"/>
      <c r="AO35" s="4">
        <v>14</v>
      </c>
      <c r="AP35" s="21" t="s">
        <v>131</v>
      </c>
      <c r="AQ35" t="s">
        <v>30</v>
      </c>
    </row>
    <row r="36" spans="1:43" ht="12.75">
      <c r="A36" s="111" t="s">
        <v>231</v>
      </c>
      <c r="B36" s="38" t="s">
        <v>232</v>
      </c>
      <c r="C36" s="119" t="s">
        <v>233</v>
      </c>
      <c r="D36" s="118">
        <v>0</v>
      </c>
      <c r="E36" s="54">
        <v>0</v>
      </c>
      <c r="F36" s="37">
        <f>IF(D36=0,ROUND($C$66+(($H$66/35)*25),4),D36)</f>
        <v>11.9032</v>
      </c>
      <c r="G36" s="37">
        <f>ROUND(E36*F36,2)</f>
        <v>0</v>
      </c>
      <c r="H36" s="37"/>
      <c r="I36" s="36"/>
      <c r="K36">
        <v>3</v>
      </c>
      <c r="L36" s="1" t="s">
        <v>148</v>
      </c>
      <c r="N36" s="13"/>
      <c r="O36" s="14">
        <f>3650/2+84</f>
        <v>1909</v>
      </c>
      <c r="Q36" s="90" t="s">
        <v>74</v>
      </c>
      <c r="R36" s="91" t="s">
        <v>75</v>
      </c>
      <c r="AO36" s="4">
        <v>14</v>
      </c>
      <c r="AP36" s="20" t="s">
        <v>132</v>
      </c>
      <c r="AQ36" t="s">
        <v>30</v>
      </c>
    </row>
    <row r="37" spans="1:43" ht="12.75">
      <c r="A37" s="111" t="s">
        <v>228</v>
      </c>
      <c r="B37" s="38" t="s">
        <v>227</v>
      </c>
      <c r="C37" s="39"/>
      <c r="D37" s="40"/>
      <c r="E37" s="54">
        <v>0</v>
      </c>
      <c r="F37" s="37">
        <f>$F$12</f>
        <v>11.9032</v>
      </c>
      <c r="G37" s="37">
        <f>ROUND(E37*F37+D37+(C37*$F$3),2)</f>
        <v>0</v>
      </c>
      <c r="H37" s="37"/>
      <c r="I37" s="36"/>
      <c r="K37" s="4">
        <v>4</v>
      </c>
      <c r="L37" s="1" t="s">
        <v>76</v>
      </c>
      <c r="N37" t="s">
        <v>12</v>
      </c>
      <c r="O37" s="15"/>
      <c r="Q37" s="92">
        <f>IF($Q$35=1,1,0)</f>
        <v>1</v>
      </c>
      <c r="R37" s="93">
        <f>IF($Q$35=3,1,0)</f>
        <v>0</v>
      </c>
      <c r="T37" s="15">
        <v>15</v>
      </c>
      <c r="U37" s="15" t="s">
        <v>78</v>
      </c>
      <c r="AO37" s="4">
        <v>14</v>
      </c>
      <c r="AP37" s="20" t="s">
        <v>133</v>
      </c>
      <c r="AQ37" t="s">
        <v>30</v>
      </c>
    </row>
    <row r="38" spans="1:43" ht="12.75">
      <c r="A38" s="38" t="s">
        <v>228</v>
      </c>
      <c r="B38" s="38" t="s">
        <v>227</v>
      </c>
      <c r="C38" s="39"/>
      <c r="D38" s="40"/>
      <c r="E38" s="54"/>
      <c r="F38" s="37">
        <f>$F$12</f>
        <v>11.9032</v>
      </c>
      <c r="G38" s="37">
        <f>ROUND(E38*F38+D38+(C38*$F$3),2)</f>
        <v>0</v>
      </c>
      <c r="H38" s="37"/>
      <c r="I38" s="36"/>
      <c r="K38" s="4">
        <v>5</v>
      </c>
      <c r="L38" s="1" t="s">
        <v>98</v>
      </c>
      <c r="N38" t="s">
        <v>147</v>
      </c>
      <c r="O38" s="15"/>
      <c r="Q38" s="92">
        <f>IF($Q$35=2,2,0)</f>
        <v>0</v>
      </c>
      <c r="R38" s="93">
        <f>IF($Q$35=4,2,0)</f>
        <v>0</v>
      </c>
      <c r="S38" s="4">
        <v>1</v>
      </c>
      <c r="T38" s="15">
        <v>1</v>
      </c>
      <c r="U38" s="13">
        <f>$O$67</f>
        <v>84.3</v>
      </c>
      <c r="AJ38" s="4"/>
      <c r="AK38" s="4"/>
      <c r="AL38" s="4"/>
      <c r="AM38" s="4"/>
      <c r="AN38" s="1"/>
      <c r="AO38" s="4">
        <v>15</v>
      </c>
      <c r="AP38" s="20" t="s">
        <v>134</v>
      </c>
      <c r="AQ38" t="s">
        <v>31</v>
      </c>
    </row>
    <row r="39" spans="1:43" ht="12.75">
      <c r="A39" s="38" t="s">
        <v>229</v>
      </c>
      <c r="B39" s="44" t="s">
        <v>227</v>
      </c>
      <c r="C39" s="39"/>
      <c r="D39" s="40"/>
      <c r="E39" s="54"/>
      <c r="F39" s="34"/>
      <c r="G39" s="37">
        <f>ROUND(E39*F39+D39+(C39*$F$3),2)</f>
        <v>0</v>
      </c>
      <c r="H39" s="37"/>
      <c r="I39" s="36"/>
      <c r="K39" s="4">
        <v>6</v>
      </c>
      <c r="L39" s="1" t="s">
        <v>99</v>
      </c>
      <c r="N39" t="s">
        <v>146</v>
      </c>
      <c r="O39" s="15"/>
      <c r="Q39" s="92">
        <f>IF($Q$35=3,1,0)</f>
        <v>0</v>
      </c>
      <c r="R39" s="93">
        <f>IF($Q$35=5,3,0)</f>
        <v>0</v>
      </c>
      <c r="S39" s="4">
        <v>2</v>
      </c>
      <c r="T39" s="15">
        <v>2</v>
      </c>
      <c r="U39" s="13">
        <f>$O$67</f>
        <v>84.3</v>
      </c>
      <c r="AO39" s="4">
        <v>18</v>
      </c>
      <c r="AP39" s="21" t="s">
        <v>135</v>
      </c>
      <c r="AQ39" t="s">
        <v>40</v>
      </c>
    </row>
    <row r="40" spans="1:43" ht="12" customHeight="1">
      <c r="A40" s="38" t="s">
        <v>229</v>
      </c>
      <c r="B40" s="37" t="s">
        <v>227</v>
      </c>
      <c r="C40" s="39"/>
      <c r="D40" s="40"/>
      <c r="E40" s="54"/>
      <c r="F40" s="34"/>
      <c r="G40" s="37">
        <f>ROUND(E40*F40+D40+(C40*$F$3),2)</f>
        <v>0</v>
      </c>
      <c r="H40" s="37"/>
      <c r="I40" s="36"/>
      <c r="K40" s="4">
        <v>7</v>
      </c>
      <c r="L40" s="1" t="s">
        <v>77</v>
      </c>
      <c r="N40" t="s">
        <v>145</v>
      </c>
      <c r="O40" s="15"/>
      <c r="Q40" s="92">
        <f>IF($Q$35=4,1,0)</f>
        <v>0</v>
      </c>
      <c r="R40" s="93">
        <f>IF($Q$35=6,4,0)</f>
        <v>0</v>
      </c>
      <c r="S40" s="4">
        <v>3</v>
      </c>
      <c r="T40" s="15" t="s">
        <v>97</v>
      </c>
      <c r="U40" s="13">
        <f>$O$67</f>
        <v>84.3</v>
      </c>
      <c r="AO40" s="4">
        <v>19</v>
      </c>
      <c r="AP40" s="21" t="s">
        <v>136</v>
      </c>
      <c r="AQ40" t="s">
        <v>34</v>
      </c>
    </row>
    <row r="41" spans="1:43" ht="12" customHeight="1">
      <c r="A41" s="38"/>
      <c r="B41" s="19" t="s">
        <v>42</v>
      </c>
      <c r="C41" s="39"/>
      <c r="D41" s="40"/>
      <c r="E41" s="39"/>
      <c r="F41" s="37"/>
      <c r="G41" s="37">
        <f>ROUND(E41*F41+D41+(C41*$F$3),2)</f>
        <v>0</v>
      </c>
      <c r="H41" s="37"/>
      <c r="I41" s="36"/>
      <c r="K41" s="4">
        <v>8</v>
      </c>
      <c r="L41" s="1" t="s">
        <v>13</v>
      </c>
      <c r="O41" s="15"/>
      <c r="Q41" s="92">
        <f>IF($Q$35=5,1,0)</f>
        <v>0</v>
      </c>
      <c r="R41" s="93">
        <f>IF($Q$35=7,1,0)</f>
        <v>0</v>
      </c>
      <c r="S41" s="4">
        <v>4</v>
      </c>
      <c r="T41" s="24">
        <v>0.3</v>
      </c>
      <c r="U41" s="13">
        <f>IF(ROUNDDOWN(($D$54*0.3),1)&lt;1,0,ROUNDDOWN(($D$54*0.3),1))</f>
        <v>514.6</v>
      </c>
      <c r="AO41" s="4">
        <v>20</v>
      </c>
      <c r="AP41" s="20" t="s">
        <v>137</v>
      </c>
      <c r="AQ41" t="s">
        <v>35</v>
      </c>
    </row>
    <row r="42" spans="1:43" ht="12" customHeight="1">
      <c r="A42" s="111" t="s">
        <v>202</v>
      </c>
      <c r="B42" s="38" t="s">
        <v>201</v>
      </c>
      <c r="C42" s="39">
        <f>IF(F2*8.1%&lt;25,25,(IF(F2*8.1%&gt;29,29,F2*8.1%)))</f>
        <v>25</v>
      </c>
      <c r="D42" s="40"/>
      <c r="E42" s="41"/>
      <c r="F42" s="46"/>
      <c r="G42" s="37">
        <f>IF(J1,ROUND((C42*$F$3),2),0)</f>
        <v>0</v>
      </c>
      <c r="H42" s="37"/>
      <c r="I42" s="36"/>
      <c r="K42" s="4"/>
      <c r="L42" s="1"/>
      <c r="O42" s="15"/>
      <c r="Q42" s="92">
        <f>IF($Q$35=6,1,0)</f>
        <v>0</v>
      </c>
      <c r="R42" s="93">
        <f>IF($Q$35=8,2,0)</f>
        <v>0</v>
      </c>
      <c r="S42" s="4">
        <v>5</v>
      </c>
      <c r="T42" s="24">
        <v>0.18</v>
      </c>
      <c r="U42" s="13">
        <f>IF(ROUNDDOWN(($D$54*0.18),1)&lt;1,0,ROUNDDOWN(($D$54*0.18),1))</f>
        <v>308.7</v>
      </c>
      <c r="AO42" s="4">
        <v>20</v>
      </c>
      <c r="AP42" s="98" t="s">
        <v>138</v>
      </c>
      <c r="AQ42" t="s">
        <v>35</v>
      </c>
    </row>
    <row r="43" spans="1:43" ht="12" customHeight="1">
      <c r="A43" s="111"/>
      <c r="B43" s="37" t="s">
        <v>88</v>
      </c>
      <c r="C43" s="54"/>
      <c r="D43" s="40"/>
      <c r="E43" s="43"/>
      <c r="F43" s="38"/>
      <c r="G43" s="37">
        <f>ROUND(E43*F43+D43+(C43*$F$3),2)</f>
        <v>0</v>
      </c>
      <c r="H43" s="37"/>
      <c r="I43" s="36"/>
      <c r="K43" s="1" t="s">
        <v>16</v>
      </c>
      <c r="L43" s="1">
        <f>Q47</f>
        <v>1</v>
      </c>
      <c r="O43" s="15"/>
      <c r="Q43" s="92">
        <f>IF($Q$35=7,2,0)</f>
        <v>0</v>
      </c>
      <c r="R43" s="93">
        <f>IF($Q$35=9,3,0)</f>
        <v>0</v>
      </c>
      <c r="S43" s="4">
        <v>6</v>
      </c>
      <c r="T43" s="24">
        <v>0.12</v>
      </c>
      <c r="U43" s="13">
        <f>IF(ROUNDDOWN(($D$54*0.12),1)&lt;1,0,ROUNDDOWN(($D$54*0.12),1))</f>
        <v>205.8</v>
      </c>
      <c r="AO43" s="4">
        <v>20</v>
      </c>
      <c r="AP43" s="21" t="s">
        <v>41</v>
      </c>
      <c r="AQ43" t="s">
        <v>35</v>
      </c>
    </row>
    <row r="44" spans="1:43" ht="12" customHeight="1" thickBot="1">
      <c r="A44" s="111"/>
      <c r="B44" s="37" t="s">
        <v>156</v>
      </c>
      <c r="C44" s="39"/>
      <c r="D44" s="55">
        <v>0</v>
      </c>
      <c r="E44" s="43"/>
      <c r="F44" s="38"/>
      <c r="G44" s="37">
        <f>ROUND(E44*F44+D44+(C44*$F$3),2)</f>
        <v>0</v>
      </c>
      <c r="H44" s="37"/>
      <c r="I44" s="36"/>
      <c r="K44" t="s">
        <v>10</v>
      </c>
      <c r="L44">
        <f>R45</f>
        <v>0</v>
      </c>
      <c r="O44" s="16">
        <f>L44*N35</f>
        <v>0</v>
      </c>
      <c r="Q44" s="92">
        <f>IF($Q$35=8,2,0)</f>
        <v>0</v>
      </c>
      <c r="R44" s="93">
        <f>IF($Q$35=10,4,0)</f>
        <v>0</v>
      </c>
      <c r="S44" s="4">
        <v>7</v>
      </c>
      <c r="T44" s="24"/>
      <c r="U44" s="13">
        <v>0</v>
      </c>
      <c r="AO44" s="4">
        <v>21</v>
      </c>
      <c r="AP44" s="21" t="s">
        <v>139</v>
      </c>
      <c r="AQ44" t="s">
        <v>36</v>
      </c>
    </row>
    <row r="45" spans="1:21" ht="13.5" thickBot="1">
      <c r="A45" s="38" t="s">
        <v>203</v>
      </c>
      <c r="B45" s="19" t="s">
        <v>157</v>
      </c>
      <c r="C45" s="19"/>
      <c r="D45" s="19"/>
      <c r="E45" s="19"/>
      <c r="F45" s="19"/>
      <c r="G45" s="19">
        <f>SUM(G12:G44)</f>
        <v>1956.29</v>
      </c>
      <c r="H45" s="37"/>
      <c r="I45" s="36"/>
      <c r="O45" s="16"/>
      <c r="Q45" s="92">
        <f>IF($Q$35=9,2,0)</f>
        <v>0</v>
      </c>
      <c r="R45" s="91">
        <f>SUM(R37:R44)</f>
        <v>0</v>
      </c>
      <c r="S45" s="86">
        <v>8</v>
      </c>
      <c r="T45" s="72"/>
      <c r="U45" s="73">
        <f>$O$67</f>
        <v>84.3</v>
      </c>
    </row>
    <row r="46" spans="1:42" ht="13.5" thickBot="1">
      <c r="A46" s="111"/>
      <c r="B46" s="47"/>
      <c r="C46" s="43"/>
      <c r="D46" s="43"/>
      <c r="E46" s="41"/>
      <c r="F46" s="46"/>
      <c r="G46" s="37">
        <f>ROUND(E46*F46+D46+(C46*$F$3),2)</f>
        <v>0</v>
      </c>
      <c r="H46" s="37"/>
      <c r="I46" s="36"/>
      <c r="N46" s="32" t="s">
        <v>85</v>
      </c>
      <c r="O46" s="28"/>
      <c r="Q46" s="92">
        <f>IF($Q$35=10,2,0)</f>
        <v>0</v>
      </c>
      <c r="R46" s="94"/>
      <c r="S46" s="87">
        <v>9</v>
      </c>
      <c r="T46" s="75"/>
      <c r="U46" s="76">
        <f>$O$67</f>
        <v>84.3</v>
      </c>
      <c r="AO46" s="4"/>
      <c r="AP46" s="21"/>
    </row>
    <row r="47" spans="1:42" ht="13.5" thickBot="1">
      <c r="A47" s="111"/>
      <c r="B47" s="125" t="s">
        <v>235</v>
      </c>
      <c r="C47" s="126"/>
      <c r="D47" s="127">
        <v>0</v>
      </c>
      <c r="E47" s="128"/>
      <c r="F47" s="129"/>
      <c r="G47" s="130">
        <f>ROUND(E47*F47+D47+(C47*$F$3),2)</f>
        <v>0</v>
      </c>
      <c r="H47" s="37"/>
      <c r="I47" s="36"/>
      <c r="K47" t="s">
        <v>9</v>
      </c>
      <c r="L47">
        <f>D54</f>
        <v>1715.37</v>
      </c>
      <c r="M47">
        <v>4</v>
      </c>
      <c r="O47" s="29">
        <f>$P$27*($M$48+85)-2*$Q$27</f>
        <v>-103.19999999999999</v>
      </c>
      <c r="Q47" s="95">
        <f>SUM(Q37:Q46)</f>
        <v>1</v>
      </c>
      <c r="R47" s="96"/>
      <c r="S47" s="87">
        <v>10</v>
      </c>
      <c r="T47" s="77"/>
      <c r="U47" s="76">
        <f>$O$67</f>
        <v>84.3</v>
      </c>
      <c r="AO47" s="4"/>
      <c r="AP47" s="21"/>
    </row>
    <row r="48" spans="1:52" ht="12.75">
      <c r="A48" s="111"/>
      <c r="B48" s="47" t="s">
        <v>43</v>
      </c>
      <c r="C48" s="46"/>
      <c r="D48" s="45"/>
      <c r="E48" s="37"/>
      <c r="F48" s="37"/>
      <c r="G48" s="115">
        <f>G49+G50+G51+G52</f>
        <v>236.99</v>
      </c>
      <c r="H48" s="37"/>
      <c r="I48" s="36"/>
      <c r="K48" t="s">
        <v>15</v>
      </c>
      <c r="L48">
        <f>SUM(L49:L51)</f>
        <v>1715.37</v>
      </c>
      <c r="M48">
        <f>(ROUNDDOWN(Imposable*0.2,0))/0.2</f>
        <v>1715</v>
      </c>
      <c r="N48" s="33" t="s">
        <v>87</v>
      </c>
      <c r="O48" s="30">
        <f>O47-$O$44</f>
        <v>-103.19999999999999</v>
      </c>
      <c r="P48" s="13">
        <f>ROUNDDOWN(O48,1)</f>
        <v>-103.2</v>
      </c>
      <c r="S48" s="74">
        <v>11</v>
      </c>
      <c r="T48" s="78" t="s">
        <v>84</v>
      </c>
      <c r="U48" s="76">
        <v>0</v>
      </c>
      <c r="AO48">
        <f>INDEX(AO6:AO44,AP5,1,1)</f>
        <v>19</v>
      </c>
      <c r="AR48" s="25"/>
      <c r="AZ48" s="34"/>
    </row>
    <row r="49" spans="1:44" ht="13.5" thickBot="1">
      <c r="A49" s="111" t="s">
        <v>194</v>
      </c>
      <c r="B49" s="44" t="s">
        <v>195</v>
      </c>
      <c r="C49" s="46"/>
      <c r="D49" s="45">
        <f>G45</f>
        <v>1956.29</v>
      </c>
      <c r="E49" s="37"/>
      <c r="F49" s="48">
        <v>0.028</v>
      </c>
      <c r="G49" s="37">
        <f>ROUND(D49*F49,2)</f>
        <v>54.78</v>
      </c>
      <c r="H49" s="37"/>
      <c r="I49" s="36"/>
      <c r="K49" t="s">
        <v>91</v>
      </c>
      <c r="L49">
        <f>IF(Q35=1,Imposable,0)</f>
        <v>1715.37</v>
      </c>
      <c r="N49" s="17">
        <v>0.07</v>
      </c>
      <c r="O49" s="31">
        <f>IF(ROUNDDOWN(($P$48*1.07),1)&lt;1,0,ROUNDDOWN(($P$48*1.07),1))</f>
        <v>0</v>
      </c>
      <c r="S49" s="74">
        <v>12</v>
      </c>
      <c r="T49" s="78" t="s">
        <v>80</v>
      </c>
      <c r="U49" s="76">
        <f>IF(ROUNDDOWN(($D$54*0.18),1)&lt;1,0,ROUNDDOWN(($D$54*0.18),1))</f>
        <v>308.7</v>
      </c>
      <c r="AR49" s="25"/>
    </row>
    <row r="50" spans="1:21" ht="13.5" thickBot="1">
      <c r="A50" s="111" t="s">
        <v>196</v>
      </c>
      <c r="B50" s="44" t="s">
        <v>197</v>
      </c>
      <c r="C50" s="46"/>
      <c r="D50" s="45">
        <f>G45</f>
        <v>1956.29</v>
      </c>
      <c r="E50" s="37"/>
      <c r="F50" s="48">
        <v>0.0025</v>
      </c>
      <c r="G50" s="37">
        <f>ROUND(D50*F50,2)</f>
        <v>4.89</v>
      </c>
      <c r="H50" s="37"/>
      <c r="I50" s="36"/>
      <c r="K50" t="s">
        <v>92</v>
      </c>
      <c r="L50">
        <f>IF($Q$47=1,IF($R$45&gt;0,(Imposable*1.5)-1936.5,0),0)</f>
        <v>0</v>
      </c>
      <c r="O50">
        <f>IF(L43=2,O49,0)</f>
        <v>0</v>
      </c>
      <c r="S50" s="74">
        <v>13</v>
      </c>
      <c r="T50" s="78" t="s">
        <v>79</v>
      </c>
      <c r="U50" s="76">
        <f>IF(ROUNDDOWN(($D$54*0.22),1)&lt;1,0,ROUNDDOWN(($D$54*0.22),1))</f>
        <v>377.3</v>
      </c>
    </row>
    <row r="51" spans="1:21" ht="13.5" thickBot="1">
      <c r="A51" s="111" t="s">
        <v>200</v>
      </c>
      <c r="B51" s="44" t="s">
        <v>198</v>
      </c>
      <c r="C51" s="46"/>
      <c r="D51" s="45">
        <f>G45</f>
        <v>1956.29</v>
      </c>
      <c r="E51" s="37"/>
      <c r="F51" s="48">
        <v>0.08</v>
      </c>
      <c r="G51" s="37">
        <f>ROUND(D51*F51,2)</f>
        <v>156.5</v>
      </c>
      <c r="H51" s="37"/>
      <c r="I51" s="36"/>
      <c r="K51" t="s">
        <v>93</v>
      </c>
      <c r="L51">
        <f>IF($Q$47=2,(Imposable/2)+42.5,0)</f>
        <v>0</v>
      </c>
      <c r="N51" s="32" t="s">
        <v>86</v>
      </c>
      <c r="O51" s="35"/>
      <c r="S51" s="74">
        <v>14</v>
      </c>
      <c r="T51" s="78" t="s">
        <v>83</v>
      </c>
      <c r="U51" s="76">
        <f>IF(ROUNDDOWN(($D$54*0.34),1)&lt;1,0,ROUNDDOWN(($D$54*0.34),1))</f>
        <v>583.2</v>
      </c>
    </row>
    <row r="52" spans="1:21" ht="12.75">
      <c r="A52" s="111" t="s">
        <v>204</v>
      </c>
      <c r="B52" s="117" t="s">
        <v>205</v>
      </c>
      <c r="C52" s="46"/>
      <c r="D52" s="45"/>
      <c r="E52" s="45">
        <f>SUM(G12:G44)-D70</f>
        <v>1487.7429215</v>
      </c>
      <c r="F52" s="50">
        <v>0.014</v>
      </c>
      <c r="G52" s="37">
        <f>ROUNDDOWN(E52*F52+D52+(C52*$F$3),2)</f>
        <v>20.82</v>
      </c>
      <c r="H52" s="37"/>
      <c r="I52" s="36"/>
      <c r="O52" s="29">
        <f>$P$27*Rp-$Q$27</f>
        <v>78.85920000000002</v>
      </c>
      <c r="P52" s="13">
        <f>ROUNDDOWN(O52,1)</f>
        <v>78.8</v>
      </c>
      <c r="S52" s="74">
        <v>15</v>
      </c>
      <c r="T52" s="78" t="s">
        <v>82</v>
      </c>
      <c r="U52" s="76">
        <f>IF(ROUNDDOWN(($D$54*0.36),1)&lt;1,0,ROUNDDOWN(($D$54*0.36),1))</f>
        <v>617.5</v>
      </c>
    </row>
    <row r="53" spans="1:21" ht="12.75">
      <c r="A53" s="38" t="s">
        <v>206</v>
      </c>
      <c r="B53" s="49" t="s">
        <v>207</v>
      </c>
      <c r="C53" s="46"/>
      <c r="D53" s="45"/>
      <c r="E53" s="45"/>
      <c r="F53" s="50"/>
      <c r="G53" s="37">
        <f>F6</f>
        <v>24.75</v>
      </c>
      <c r="H53" s="37"/>
      <c r="I53" s="36"/>
      <c r="O53" s="29"/>
      <c r="P53" s="13"/>
      <c r="S53" s="74"/>
      <c r="T53" s="78"/>
      <c r="U53" s="76"/>
    </row>
    <row r="54" spans="1:42" ht="13.5" thickBot="1">
      <c r="A54" s="38" t="s">
        <v>208</v>
      </c>
      <c r="B54" s="44" t="s">
        <v>211</v>
      </c>
      <c r="C54" s="46"/>
      <c r="D54" s="116">
        <f>G45-G48-F6+G52-SUM(G26:G28)</f>
        <v>1715.37</v>
      </c>
      <c r="E54" s="37"/>
      <c r="F54" s="37"/>
      <c r="G54" s="51">
        <f>G45-G48-G53+G52-SUM(G26:G28)</f>
        <v>1715.37</v>
      </c>
      <c r="H54" s="37"/>
      <c r="I54" s="36"/>
      <c r="N54" s="17">
        <v>0.07</v>
      </c>
      <c r="O54" s="31">
        <f>IF(ROUNDDOWN(($P52*1.07),1)&lt;1,0,ROUNDDOWN(($P52*1.07),1))</f>
        <v>84.3</v>
      </c>
      <c r="S54" s="79">
        <v>16</v>
      </c>
      <c r="T54" s="80" t="s">
        <v>81</v>
      </c>
      <c r="U54" s="81">
        <f>IF(ROUNDDOWN(($D$54*0.38),1)&lt;1,0,ROUNDDOWN(($D$54*0.38),1))</f>
        <v>651.8</v>
      </c>
      <c r="AL54" s="20"/>
      <c r="AP54"/>
    </row>
    <row r="55" spans="1:42" ht="13.5" thickBot="1">
      <c r="A55" s="111" t="s">
        <v>209</v>
      </c>
      <c r="B55" s="44" t="s">
        <v>210</v>
      </c>
      <c r="C55" s="37"/>
      <c r="D55" s="37"/>
      <c r="E55" s="37"/>
      <c r="F55" s="37"/>
      <c r="G55" s="51">
        <f>INDEX(U38:U54,Q35,1)</f>
        <v>84.3</v>
      </c>
      <c r="H55" s="37"/>
      <c r="I55" s="36"/>
      <c r="O55" s="34">
        <f>IF(L43=1,(IF(L44=0,O54,0)),0)</f>
        <v>84.3</v>
      </c>
      <c r="AL55" s="20"/>
      <c r="AP55"/>
    </row>
    <row r="56" spans="1:42" ht="13.5" thickBot="1">
      <c r="A56" s="38" t="s">
        <v>212</v>
      </c>
      <c r="B56" s="47" t="s">
        <v>158</v>
      </c>
      <c r="C56" s="121"/>
      <c r="D56" s="121"/>
      <c r="E56" s="121"/>
      <c r="F56" s="122"/>
      <c r="G56" s="123">
        <f>G45-G48-G55</f>
        <v>1635</v>
      </c>
      <c r="H56" s="37"/>
      <c r="I56" s="36"/>
      <c r="N56" s="32" t="s">
        <v>143</v>
      </c>
      <c r="O56" s="35"/>
      <c r="AL56" s="20"/>
      <c r="AP56"/>
    </row>
    <row r="57" spans="1:42" ht="12.75">
      <c r="A57" s="111" t="s">
        <v>213</v>
      </c>
      <c r="B57" s="38" t="s">
        <v>214</v>
      </c>
      <c r="C57" s="52"/>
      <c r="D57" s="52"/>
      <c r="E57" s="52"/>
      <c r="F57" s="53"/>
      <c r="G57" s="124">
        <v>0</v>
      </c>
      <c r="H57" s="37"/>
      <c r="I57" s="36"/>
      <c r="O57" s="29">
        <f>$P$27*(1.5*($M$48)-1920)-$Q$27</f>
        <v>-91.19999999999999</v>
      </c>
      <c r="AL57" s="20"/>
      <c r="AP57"/>
    </row>
    <row r="58" spans="1:42" ht="12.75">
      <c r="A58" s="111" t="s">
        <v>215</v>
      </c>
      <c r="B58" s="38" t="s">
        <v>100</v>
      </c>
      <c r="C58" s="52"/>
      <c r="D58" s="52"/>
      <c r="E58" s="52"/>
      <c r="F58" s="53"/>
      <c r="G58" s="51">
        <v>25</v>
      </c>
      <c r="H58" s="37"/>
      <c r="I58" s="36"/>
      <c r="N58" s="33" t="s">
        <v>87</v>
      </c>
      <c r="O58" s="30">
        <f>O57-$O$44</f>
        <v>-91.19999999999999</v>
      </c>
      <c r="P58" s="13">
        <f>ROUNDDOWN(O58,1)</f>
        <v>-91.2</v>
      </c>
      <c r="AL58" s="20"/>
      <c r="AP58"/>
    </row>
    <row r="59" spans="1:15" ht="13.5" thickBot="1">
      <c r="A59" s="111" t="s">
        <v>230</v>
      </c>
      <c r="B59" s="38" t="s">
        <v>101</v>
      </c>
      <c r="C59" s="43"/>
      <c r="D59" s="41"/>
      <c r="E59" s="41"/>
      <c r="F59" s="46"/>
      <c r="G59" s="37">
        <f>IF(J2,31,0)</f>
        <v>0</v>
      </c>
      <c r="H59" s="37"/>
      <c r="I59" s="36"/>
      <c r="N59" s="17">
        <v>0.07</v>
      </c>
      <c r="O59" s="31">
        <f>IF(ROUNDDOWN(($P58*1.07),1)&lt;1,0,ROUNDDOWN(($P58*1.07),1))</f>
        <v>0</v>
      </c>
    </row>
    <row r="60" spans="1:15" ht="13.5" thickBot="1">
      <c r="A60" s="111"/>
      <c r="B60" s="37" t="s">
        <v>159</v>
      </c>
      <c r="C60" s="37"/>
      <c r="D60" s="37"/>
      <c r="E60" s="46"/>
      <c r="F60" s="46"/>
      <c r="G60" s="51">
        <f>G56-G57+G58-G59</f>
        <v>1660</v>
      </c>
      <c r="H60" s="37"/>
      <c r="I60" s="36"/>
      <c r="O60" s="34">
        <f>IF($L$43=1,IF($L$44&gt;0,IF($D$54&lt;=3020,O59,0),0),0)</f>
        <v>0</v>
      </c>
    </row>
    <row r="61" spans="1:15" ht="13.5" thickBot="1">
      <c r="A61" s="111"/>
      <c r="B61" s="143" t="s">
        <v>199</v>
      </c>
      <c r="C61" s="143"/>
      <c r="D61" s="143"/>
      <c r="E61" s="143"/>
      <c r="F61" s="113"/>
      <c r="G61" s="114"/>
      <c r="H61" s="26"/>
      <c r="I61" s="36"/>
      <c r="N61" s="32" t="s">
        <v>144</v>
      </c>
      <c r="O61" s="35"/>
    </row>
    <row r="62" spans="1:15" ht="12.75">
      <c r="A62" s="111"/>
      <c r="B62" s="26" t="s">
        <v>57</v>
      </c>
      <c r="C62" s="26" t="s">
        <v>58</v>
      </c>
      <c r="D62" s="26" t="s">
        <v>59</v>
      </c>
      <c r="E62" s="26" t="s">
        <v>60</v>
      </c>
      <c r="F62" s="26" t="s">
        <v>61</v>
      </c>
      <c r="G62" s="26" t="s">
        <v>62</v>
      </c>
      <c r="H62" s="26" t="s">
        <v>63</v>
      </c>
      <c r="I62" s="36"/>
      <c r="O62" s="29">
        <f>0.4*($M$48)-938.7</f>
        <v>-252.70000000000005</v>
      </c>
    </row>
    <row r="63" spans="1:15" ht="12.75">
      <c r="A63" s="111"/>
      <c r="B63" s="26" t="s">
        <v>64</v>
      </c>
      <c r="C63" s="59">
        <v>0</v>
      </c>
      <c r="D63" s="59">
        <v>0</v>
      </c>
      <c r="E63" s="58">
        <v>0</v>
      </c>
      <c r="F63" s="26">
        <f>ROUND((SUM(C63:E63))/($D$9*($C$9/100)*$F$1),4)</f>
        <v>0</v>
      </c>
      <c r="G63" s="26"/>
      <c r="H63" s="26"/>
      <c r="I63" s="36"/>
      <c r="O63" s="29"/>
    </row>
    <row r="64" spans="1:16" ht="12.75">
      <c r="A64" s="111"/>
      <c r="B64" s="26" t="s">
        <v>56</v>
      </c>
      <c r="C64" s="58">
        <v>0</v>
      </c>
      <c r="D64" s="58">
        <v>0</v>
      </c>
      <c r="E64" s="58">
        <v>0</v>
      </c>
      <c r="F64" s="26">
        <f>ROUND((SUM(C64:E64))/($D$9*($C$9/100)*$F$1),4)</f>
        <v>0</v>
      </c>
      <c r="G64" s="26">
        <f>F63</f>
        <v>0</v>
      </c>
      <c r="H64" s="26">
        <f>ROUND(G64*F1,4)</f>
        <v>0</v>
      </c>
      <c r="I64" s="36"/>
      <c r="N64" s="33" t="s">
        <v>87</v>
      </c>
      <c r="O64" s="30">
        <f>O62-$O$44</f>
        <v>-252.70000000000005</v>
      </c>
      <c r="P64" s="13">
        <f>ROUNDDOWN(O64,1)</f>
        <v>-252.7</v>
      </c>
    </row>
    <row r="65" spans="1:15" ht="13.5" thickBot="1">
      <c r="A65" s="111"/>
      <c r="B65" s="101" t="s">
        <v>55</v>
      </c>
      <c r="C65" s="58">
        <v>0</v>
      </c>
      <c r="D65" s="58">
        <v>0</v>
      </c>
      <c r="E65" s="58">
        <v>0</v>
      </c>
      <c r="F65" s="26">
        <f>ROUND((SUM(C65:E65))/($D$9*($C$9/100)*$F$1),4)</f>
        <v>0</v>
      </c>
      <c r="G65" s="26">
        <f>ROUND(SUM(F63:F64)/2,4)</f>
        <v>0</v>
      </c>
      <c r="H65" s="26">
        <f>ROUND(G65*F1,4)</f>
        <v>0</v>
      </c>
      <c r="I65" s="36"/>
      <c r="N65" s="17">
        <v>0.07</v>
      </c>
      <c r="O65" s="31">
        <f>IF(ROUNDDOWN(($P64*1.07),1)&lt;1,0,ROUNDDOWN(($P64*1.07),1))</f>
        <v>0</v>
      </c>
    </row>
    <row r="66" spans="1:15" ht="12.75">
      <c r="A66" s="111"/>
      <c r="B66" s="26" t="s">
        <v>65</v>
      </c>
      <c r="C66" s="26">
        <f>F12</f>
        <v>11.9032</v>
      </c>
      <c r="D66" s="26"/>
      <c r="E66" s="26"/>
      <c r="F66" s="26"/>
      <c r="G66" s="26">
        <f>ROUND(SUM(F63:F65)/3,4)</f>
        <v>0</v>
      </c>
      <c r="H66" s="26">
        <f>ROUND(G66*F1,4)</f>
        <v>0</v>
      </c>
      <c r="I66" s="36"/>
      <c r="O66" s="34">
        <f>IF($L$43=1,IF($L$44&gt;0,IF($D$54&gt;=3025,O65,0),0),0)</f>
        <v>0</v>
      </c>
    </row>
    <row r="67" spans="1:16" ht="13.5" customHeight="1">
      <c r="A67" s="111"/>
      <c r="B67" s="101" t="s">
        <v>234</v>
      </c>
      <c r="C67" s="102">
        <f>ROUND($C$66+$H$66,4)</f>
        <v>11.9032</v>
      </c>
      <c r="D67" s="26"/>
      <c r="E67" s="26"/>
      <c r="F67" s="26"/>
      <c r="G67" s="26"/>
      <c r="H67" s="26"/>
      <c r="I67" s="36"/>
      <c r="N67" s="22" t="s">
        <v>89</v>
      </c>
      <c r="O67">
        <f>SUM(O50+O55+O60+O66)</f>
        <v>84.3</v>
      </c>
      <c r="P67">
        <f>SUM(P47:P65)</f>
        <v>-368.3</v>
      </c>
    </row>
    <row r="68" spans="1:9" ht="14.25" customHeight="1">
      <c r="A68" s="111"/>
      <c r="B68" s="26" t="s">
        <v>66</v>
      </c>
      <c r="C68" s="120">
        <f>ROUND($C$66+(($H$66/35)*25),4)</f>
        <v>11.9032</v>
      </c>
      <c r="D68" s="26"/>
      <c r="E68" s="26"/>
      <c r="F68" s="26"/>
      <c r="G68" s="26"/>
      <c r="H68" s="26"/>
      <c r="I68" s="36"/>
    </row>
    <row r="69" spans="1:9" ht="12.75">
      <c r="A69" s="111"/>
      <c r="B69" s="37" t="s">
        <v>90</v>
      </c>
      <c r="C69" s="57">
        <v>247.82</v>
      </c>
      <c r="D69" s="37" t="s">
        <v>140</v>
      </c>
      <c r="E69" s="37"/>
      <c r="F69" s="37"/>
      <c r="G69" s="37"/>
      <c r="H69" s="37"/>
      <c r="I69" s="36"/>
    </row>
    <row r="70" spans="1:9" ht="15" customHeight="1">
      <c r="A70" s="111"/>
      <c r="B70" s="37" t="s">
        <v>67</v>
      </c>
      <c r="C70" s="37">
        <f>C69*F1</f>
        <v>1874.188314</v>
      </c>
      <c r="D70" s="37">
        <f>IF(D9&gt;=160,C70/4,0)</f>
        <v>468.5470785</v>
      </c>
      <c r="E70" s="37"/>
      <c r="F70" s="37"/>
      <c r="G70" s="37"/>
      <c r="H70" s="37"/>
      <c r="I70" s="36"/>
    </row>
    <row r="71" spans="1:9" ht="32.25" customHeight="1">
      <c r="A71" s="111"/>
      <c r="B71" s="62"/>
      <c r="C71" s="37"/>
      <c r="D71" s="37"/>
      <c r="E71" s="37"/>
      <c r="F71" s="37"/>
      <c r="G71" s="37"/>
      <c r="H71" s="37"/>
      <c r="I71" s="36"/>
    </row>
    <row r="72" spans="1:9" ht="290.25" customHeight="1">
      <c r="A72" s="112"/>
      <c r="B72" s="36"/>
      <c r="C72" s="36"/>
      <c r="D72" s="36"/>
      <c r="E72" s="36"/>
      <c r="F72" s="36"/>
      <c r="G72" s="36"/>
      <c r="H72" s="36"/>
      <c r="I72" s="36"/>
    </row>
  </sheetData>
  <sheetProtection/>
  <mergeCells count="3">
    <mergeCell ref="B61:E61"/>
    <mergeCell ref="E9:F9"/>
    <mergeCell ref="A2:A7"/>
  </mergeCells>
  <printOptions/>
  <pageMargins left="0.03937007874015748" right="0.03937007874015748" top="0" bottom="0" header="0.3937007874015748" footer="0.5905511811023623"/>
  <pageSetup horizontalDpi="600" verticalDpi="600" orientation="portrait" paperSize="9" r:id="rId4"/>
  <headerFooter alignWithMargins="0">
    <oddFooter>&amp;LSans Garantie!&amp;RCopyrights: Fränk Siebenaller</oddFooter>
  </headerFooter>
  <ignoredErrors>
    <ignoredError sqref="F34:F35 G42 G45" formula="1"/>
    <ignoredError sqref="C42" unlockedFormula="1"/>
    <ignoredError sqref="E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Fränk Siebenaller</cp:lastModifiedBy>
  <cp:lastPrinted>2013-04-28T18:07:26Z</cp:lastPrinted>
  <dcterms:created xsi:type="dcterms:W3CDTF">2002-08-14T19:51:55Z</dcterms:created>
  <dcterms:modified xsi:type="dcterms:W3CDTF">2020-12-12T19:15:26Z</dcterms:modified>
  <cp:category/>
  <cp:version/>
  <cp:contentType/>
  <cp:contentStatus/>
</cp:coreProperties>
</file>