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teuern" sheetId="1" r:id="rId1"/>
  </sheets>
  <definedNames>
    <definedName name="_xlnm.Print_Area" localSheetId="0">'steuern'!$A$1:$G$61</definedName>
    <definedName name="Imposable">'steuern'!$L$47</definedName>
    <definedName name="Rp">'steuern'!$L$48</definedName>
  </definedNames>
  <calcPr fullCalcOnLoad="1"/>
</workbook>
</file>

<file path=xl/comments1.xml><?xml version="1.0" encoding="utf-8"?>
<comments xmlns="http://schemas.openxmlformats.org/spreadsheetml/2006/main">
  <authors>
    <author/>
    <author>Fr?nk S</author>
  </authors>
  <commentList>
    <comment ref="E1" authorId="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1" authorId="0">
      <text>
        <r>
          <rPr>
            <b/>
            <sz val="8"/>
            <color indexed="8"/>
            <rFont val="Tahoma"/>
            <family val="2"/>
          </rPr>
          <t>à partir 1.1.2014</t>
        </r>
      </text>
    </comment>
    <comment ref="J1" authorId="0">
      <text>
        <r>
          <rPr>
            <sz val="8"/>
            <color indexed="8"/>
            <rFont val="Tahoma"/>
            <family val="2"/>
          </rPr>
          <t>Checkbox allocation de famille</t>
        </r>
      </text>
    </comment>
    <comment ref="G4" authorId="0">
      <text>
        <r>
          <rPr>
            <b/>
            <sz val="8"/>
            <color indexed="8"/>
            <rFont val="Tahoma"/>
            <family val="2"/>
          </rPr>
          <t xml:space="preserve">à partir 1.1.2015
</t>
        </r>
      </text>
    </comment>
    <comment ref="B5" authorId="0">
      <text>
        <r>
          <rPr>
            <b/>
            <sz val="8"/>
            <color indexed="8"/>
            <rFont val="Tahoma"/>
            <family val="2"/>
          </rPr>
          <t>Selon barrème 
ou pour Fiche de retenue d'impôt additionnelle:
Classe1=33%
Classe1a=21%
Classe2=15%</t>
        </r>
      </text>
    </comment>
    <comment ref="B6" authorId="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text>
        <r>
          <rPr>
            <sz val="8"/>
            <color indexed="8"/>
            <rFont val="Tahoma"/>
            <family val="2"/>
          </rPr>
          <t>Introduise les kilométres en veillant que l'abattement FD correspont avec ton bulletin de salaire ou ta fiche d'impôt.</t>
        </r>
      </text>
    </comment>
    <comment ref="AK6" authorId="0">
      <text>
        <r>
          <rPr>
            <sz val="8"/>
            <color indexed="8"/>
            <rFont val="Tahoma"/>
            <family val="2"/>
          </rPr>
          <t xml:space="preserve">à partir du 1.1.2013
</t>
        </r>
      </text>
    </comment>
    <comment ref="E9" authorId="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AR9" authorId="0">
      <text>
        <r>
          <rPr>
            <sz val="8"/>
            <color indexed="8"/>
            <rFont val="Tahoma"/>
            <family val="2"/>
          </rPr>
          <t>fiche de retenue d'impôt additionnelle.Classe 1
à partir du 1/1/2013</t>
        </r>
      </text>
    </comment>
    <comment ref="AR10" authorId="0">
      <text>
        <r>
          <rPr>
            <b/>
            <sz val="8"/>
            <color indexed="8"/>
            <rFont val="Tahoma"/>
            <family val="2"/>
          </rPr>
          <t>fiche de retenue d'impôt additionnelle.Classe 1a</t>
        </r>
      </text>
    </comment>
    <comment ref="AR11" authorId="0">
      <text>
        <r>
          <rPr>
            <b/>
            <sz val="8"/>
            <color indexed="8"/>
            <rFont val="Tahoma"/>
            <family val="2"/>
          </rPr>
          <t>fiche de retenue d'impôt additionnelle.Classe 2</t>
        </r>
      </text>
    </comment>
    <comment ref="E12" authorId="0">
      <text>
        <r>
          <rPr>
            <b/>
            <sz val="8"/>
            <color indexed="8"/>
            <rFont val="Tahoma"/>
            <family val="2"/>
          </rPr>
          <t>= horaire mensuel - heures congés et heures de formations etc</t>
        </r>
      </text>
    </comment>
    <comment ref="B13" authorId="0">
      <text>
        <r>
          <rPr>
            <b/>
            <u val="single"/>
            <sz val="8"/>
            <color indexed="8"/>
            <rFont val="Tahoma"/>
            <family val="2"/>
          </rPr>
          <t xml:space="preserve">CCT 8/7/2005 article 8 B). indemnités permanance
</t>
        </r>
        <r>
          <rPr>
            <sz val="8"/>
            <color indexed="8"/>
            <rFont val="Tahoma"/>
            <family val="2"/>
          </rPr>
          <t xml:space="preserve">Les salariés, devant être accessibles, toucheront les indemnités suivantes (toutes à l'indice 100) (situation:
valeur du point indiciaire au 01.01.2004):
- pour accessibilité le jour entre 8 heures et 18 heures;
§ pour le seuil 1 (accessibilité en 10 minutes) : 0,4986 EUR par heure
§ pour le seuil 2 (accessibilité en 30 minutes) : 0,3989 EUR par heure
§ pour le seuil 3 (accessibilité en 60 minutes) : 0,1995 EUR par heure
§ pour le seuil 4 (accessibilité en 240 minutes) : 0,0997 EUR par heure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=2,2552*6,3626(index) = 14,3489€(10.2004)
Valeur 1hrs permS2 10.2004=2,538
Formule pour le calcule d'une heure permanance s2:
(Valeur 1hrs permS2 10.2004)*(evaluation de la valeur du point(valeur actuel/valeur10.2004))</t>
        </r>
      </text>
    </comment>
    <comment ref="AR13" authorId="0">
      <text>
        <r>
          <rPr>
            <b/>
            <sz val="8"/>
            <color indexed="8"/>
            <rFont val="Tahoma"/>
            <family val="2"/>
          </rPr>
          <t xml:space="preserve">Stop à partir du1.8.2008
</t>
        </r>
      </text>
    </comment>
    <comment ref="B26" authorId="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7" authorId="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8" authorId="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9" authorId="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C34" authorId="0">
      <text>
        <r>
          <rPr>
            <sz val="8"/>
            <color indexed="8"/>
            <rFont val="Tahoma"/>
            <family val="2"/>
          </rPr>
          <t>Pour le calcul de ta rénumeration d'une heure de maladie ou de congé, les salaires des 3 derniérs mois sont tenus en compte. Dans une tabelle en bas de ce formulaire tu peux la recalculer. Si le calcul n'est pas possible, tu peux introduire la rénumeration de ton bulletin de salaire ici.</t>
        </r>
      </text>
    </comment>
    <comment ref="N35" authorId="0">
      <text>
        <r>
          <rPr>
            <b/>
            <sz val="8"/>
            <color indexed="8"/>
            <rFont val="Tahoma"/>
            <family val="2"/>
          </rPr>
          <t xml:space="preserve">0€ à partir de 2008
</t>
        </r>
        <r>
          <rPr>
            <sz val="8"/>
            <color indexed="8"/>
            <rFont val="Tahoma"/>
            <family val="2"/>
          </rPr>
          <t xml:space="preserve">
</t>
        </r>
      </text>
    </comment>
    <comment ref="R35" authorId="0">
      <text>
        <r>
          <rPr>
            <b/>
            <sz val="8"/>
            <color indexed="8"/>
            <rFont val="Tahoma"/>
            <family val="2"/>
          </rPr>
          <t xml:space="preserve">annulé à partir du 11.1.2008
</t>
        </r>
      </text>
    </comment>
    <comment ref="B36" authorId="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L36" authorId="0">
      <text>
        <r>
          <rPr>
            <b/>
            <sz val="8"/>
            <color indexed="8"/>
            <rFont val="Tahoma"/>
            <family val="2"/>
          </rPr>
          <t xml:space="preserve">a.p.du.1.1.2013 
Classe 2
</t>
        </r>
      </text>
    </comment>
    <comment ref="B42" authorId="0">
      <text>
        <r>
          <rPr>
            <b/>
            <sz val="8"/>
            <color indexed="8"/>
            <rFont val="Tahoma"/>
            <family val="2"/>
          </rPr>
          <t>-Seulement pour les salarié en service à la date du 1.3.2001
-A droit à l'allocation de famille: regardez CCT Article 20</t>
        </r>
      </text>
    </comment>
    <comment ref="U45" authorId="0">
      <text>
        <r>
          <rPr>
            <b/>
            <sz val="8"/>
            <color indexed="8"/>
            <rFont val="Tahoma"/>
            <family val="2"/>
          </rPr>
          <t xml:space="preserve">annulé à partir du 11.1.2008
</t>
        </r>
      </text>
    </comment>
    <comment ref="O49" authorId="0">
      <text>
        <r>
          <rPr>
            <sz val="8"/>
            <color indexed="8"/>
            <rFont val="Tahoma"/>
            <family val="2"/>
          </rPr>
          <t xml:space="preserve">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(I*0,09 --165,74); I étant l'impôt non-
majoré.
Ce montant est à arrondir au multiple inférieur de 10 cents.)
</t>
        </r>
      </text>
    </comment>
    <comment ref="F52" authorId="0">
      <text>
        <r>
          <rPr>
            <b/>
            <sz val="8"/>
            <color indexed="8"/>
            <rFont val="Tahoma"/>
            <family val="2"/>
          </rPr>
          <t xml:space="preserve">à partir du 1.1.2007
</t>
        </r>
        <r>
          <rPr>
            <sz val="8"/>
            <color indexed="8"/>
            <rFont val="Tahoma"/>
            <family val="2"/>
          </rPr>
          <t xml:space="preserve">
</t>
        </r>
      </text>
    </comment>
    <comment ref="B55" authorId="0">
      <text>
        <r>
          <rPr>
            <b/>
            <sz val="8"/>
            <color indexed="8"/>
            <rFont val="Tahoma"/>
            <family val="2"/>
          </rPr>
          <t>Imposable= Brut total- Suppl.Hrs D, F, N-Abattement FD-Cotisations+Contrib.Dépendance</t>
        </r>
      </text>
    </comment>
    <comment ref="O54" authorId="0">
      <text>
        <r>
          <rPr>
            <b/>
            <sz val="8"/>
            <color indexed="8"/>
            <rFont val="Tahoma"/>
            <family val="2"/>
          </rPr>
          <t>a.p.1.1.2013:L'impôt est à déterminer à l'aide des formules générales et à arrondir au multiple inférieur de 10 cents.
Si le revenu est inférieur à 12.585 €, l'impôt est à majorer de 7% et à arrondir au multiple inférieur de 10
cents.(Pas retenu pour le calcul dans ce cct car revenue toujours inferieur:
Si le revenu est égal ou supérieur à 12.585 €, l'impôt est à majorer de (I*0,09 -82,87); I étant l'impôt non-
majoré.
Ce montant est à arrondir au multiple inférieur de 10 cents.)</t>
        </r>
      </text>
    </comment>
    <comment ref="B60" authorId="0">
      <text>
        <r>
          <rPr>
            <b/>
            <sz val="8"/>
            <color indexed="8"/>
            <rFont val="Tahoma"/>
            <family val="2"/>
          </rPr>
          <t>à payer seulement 1x/an au mois de mars</t>
        </r>
      </text>
    </comment>
    <comment ref="B62" authorId="0">
      <text>
        <r>
          <rPr>
            <b/>
            <sz val="8"/>
            <color indexed="8"/>
            <rFont val="Tahoma"/>
            <family val="2"/>
          </rPr>
          <t xml:space="preserve">CCT 2005, Annexe 1
</t>
        </r>
      </text>
    </comment>
    <comment ref="B70" authorId="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 ref="F53" authorId="1">
      <text>
        <r>
          <rPr>
            <b/>
            <sz val="9"/>
            <rFont val="Tahoma"/>
            <family val="0"/>
          </rPr>
          <t>à partir du 1.1.2015</t>
        </r>
      </text>
    </comment>
  </commentList>
</comments>
</file>

<file path=xl/sharedStrings.xml><?xml version="1.0" encoding="utf-8"?>
<sst xmlns="http://schemas.openxmlformats.org/spreadsheetml/2006/main" count="309" uniqueCount="243">
  <si>
    <t>Nom:</t>
  </si>
  <si>
    <t>Pierre Dupont</t>
  </si>
  <si>
    <t>Indice:</t>
  </si>
  <si>
    <t>- 12 -</t>
  </si>
  <si>
    <t>Beginn:</t>
  </si>
  <si>
    <t>Fonction:</t>
  </si>
  <si>
    <t>Points:</t>
  </si>
  <si>
    <t>2.2. Formules générales de la retenue sur salaire mensuel</t>
  </si>
  <si>
    <t>ANLAGELLOHNTABELLE seit 1.1.93</t>
  </si>
  <si>
    <t>berechnungsmonat:</t>
  </si>
  <si>
    <t>Debut de travail,            année:</t>
  </si>
  <si>
    <t>Valeur Point :</t>
  </si>
  <si>
    <t>Die Beamten der Gesundheitsberufe</t>
  </si>
  <si>
    <t>Die administrativen Beamten</t>
  </si>
  <si>
    <t>Die Arbeiter</t>
  </si>
  <si>
    <t xml:space="preserve">                                               mois:</t>
  </si>
  <si>
    <t>Valeur Point indice 100 :</t>
  </si>
  <si>
    <t>TARIF DE BASE 1-2013</t>
  </si>
  <si>
    <t>Dienstalter</t>
  </si>
  <si>
    <t>Punkte</t>
  </si>
  <si>
    <t>Steuerklassen</t>
  </si>
  <si>
    <t xml:space="preserve">Classe Impôt  : </t>
  </si>
  <si>
    <t>ES 1.0</t>
  </si>
  <si>
    <t>ES 2.0</t>
  </si>
  <si>
    <t>ES 3.0</t>
  </si>
  <si>
    <t>ES 4.0</t>
  </si>
  <si>
    <t>ES 5.0</t>
  </si>
  <si>
    <t>EA 1.0</t>
  </si>
  <si>
    <t>EA 2.0</t>
  </si>
  <si>
    <t>EA 2.1</t>
  </si>
  <si>
    <t>EA 3.0</t>
  </si>
  <si>
    <t>EA 3.1</t>
  </si>
  <si>
    <t>EA 4.0</t>
  </si>
  <si>
    <t>EA 5.0</t>
  </si>
  <si>
    <t>ou 1.0</t>
  </si>
  <si>
    <t>OU 2.0</t>
  </si>
  <si>
    <t>OU 3.0</t>
  </si>
  <si>
    <t>OU 4.0</t>
  </si>
  <si>
    <t>Kilométres :</t>
  </si>
  <si>
    <t xml:space="preserve">             Déduction FD :</t>
  </si>
  <si>
    <t>Echelon de R'</t>
  </si>
  <si>
    <t>a</t>
  </si>
  <si>
    <t>b</t>
  </si>
  <si>
    <t>aide-soignant</t>
  </si>
  <si>
    <t>Temps de Référence ,    année:</t>
  </si>
  <si>
    <t>infirmier</t>
  </si>
  <si>
    <t xml:space="preserve">                                                   mois:</t>
  </si>
  <si>
    <t>assistant technique médical de radiologie</t>
  </si>
  <si>
    <t>1a</t>
  </si>
  <si>
    <t>Taux d'Occupation:</t>
  </si>
  <si>
    <t>Horaire mensuel</t>
  </si>
  <si>
    <t>assistant technique médical de laboratoire</t>
  </si>
  <si>
    <t>éducateur diplômé</t>
  </si>
  <si>
    <t>Rubriques</t>
  </si>
  <si>
    <t>Nombre ou base</t>
  </si>
  <si>
    <t>Taux salarial</t>
  </si>
  <si>
    <t>Montants</t>
  </si>
  <si>
    <t>infirmier psychiatrique</t>
  </si>
  <si>
    <t>Rémunérat de base</t>
  </si>
  <si>
    <t>infirmier en pédiatrie</t>
  </si>
  <si>
    <t>f12</t>
  </si>
  <si>
    <t>A10</t>
  </si>
  <si>
    <t>Service.Perm.Seuil 1 10 min (*1.25)</t>
  </si>
  <si>
    <t>infirmier-anesthésiste</t>
  </si>
  <si>
    <t>A11</t>
  </si>
  <si>
    <t>Service.Perm.Seuil 2 30 min (*1  )</t>
  </si>
  <si>
    <t>assistant technique médical de chirurgie</t>
  </si>
  <si>
    <t>A12</t>
  </si>
  <si>
    <t>Service.Perm.Seuil 3 60 min (*0.5 )</t>
  </si>
  <si>
    <t>masseur</t>
  </si>
  <si>
    <t>A13</t>
  </si>
  <si>
    <t>Service.Perm.Seuil 4 240 min (*0.25)</t>
  </si>
  <si>
    <t>sage-femme</t>
  </si>
  <si>
    <t>A14</t>
  </si>
  <si>
    <t>Service.Perm.Nuit S1 20 % 10min</t>
  </si>
  <si>
    <t>éducateur-gradué diplômé</t>
  </si>
  <si>
    <t>A15</t>
  </si>
  <si>
    <t>Service.Perm.Dim.S1 70 % 10min</t>
  </si>
  <si>
    <t>infirmier hospitalier gradué</t>
  </si>
  <si>
    <t>A16</t>
  </si>
  <si>
    <t>Service.Perm.J.F..S1 100 % 10min</t>
  </si>
  <si>
    <t>laborantin</t>
  </si>
  <si>
    <t>A24</t>
  </si>
  <si>
    <t>Service.Perm.Nuit S2 20 % 30min</t>
  </si>
  <si>
    <t>diététicien</t>
  </si>
  <si>
    <t>A25</t>
  </si>
  <si>
    <t>Service.Perm.Dim.S2 70 % 30min</t>
  </si>
  <si>
    <t>ergothérapeute</t>
  </si>
  <si>
    <t>A26</t>
  </si>
  <si>
    <t>Service.Perm.J.F.S2  100 % 30min</t>
  </si>
  <si>
    <t>psychomotricien</t>
  </si>
  <si>
    <t>A34</t>
  </si>
  <si>
    <t>Service.Perm.Nuit S3 20 % 60min</t>
  </si>
  <si>
    <t>assistant d’hygiène sociale,assistant social</t>
  </si>
  <si>
    <t>Fahrtkosten Mintestbetrag (0-4km):</t>
  </si>
  <si>
    <t>A35</t>
  </si>
  <si>
    <t>Service.Perm.Dim.S3 70 % 60min</t>
  </si>
  <si>
    <t>orthophoniste</t>
  </si>
  <si>
    <t>Betrag pro km zwischen 4 - 30km :</t>
  </si>
  <si>
    <t>A36</t>
  </si>
  <si>
    <t>Service.Perm.J.F.S3 100 % 60min</t>
  </si>
  <si>
    <t>kinésithérapeute</t>
  </si>
  <si>
    <t>Fahrtkosten ( FD ):</t>
  </si>
  <si>
    <t>SD2</t>
  </si>
  <si>
    <t>Suppl.Hrs Dimanche 70 %</t>
  </si>
  <si>
    <t>carrière A, employé sans diplôme</t>
  </si>
  <si>
    <t>SF3</t>
  </si>
  <si>
    <t>Suppl.Hrs Ferie 100 %</t>
  </si>
  <si>
    <t>carrière B,empl. avec une quali. inf. groupe B1</t>
  </si>
  <si>
    <t>SN1</t>
  </si>
  <si>
    <t>Suppl.Hrs Nuit 20 %</t>
  </si>
  <si>
    <t>carrière B1, empl. ayant réussi la 5e secondaire</t>
  </si>
  <si>
    <t>SD</t>
  </si>
  <si>
    <r>
      <t xml:space="preserve">Suppl.Hrs Dimanche 70 % </t>
    </r>
    <r>
      <rPr>
        <b/>
        <sz val="10"/>
        <rFont val="Arial"/>
        <family val="2"/>
      </rPr>
      <t>Im</t>
    </r>
    <r>
      <rPr>
        <sz val="10"/>
        <rFont val="Arial"/>
        <family val="2"/>
      </rPr>
      <t>posable</t>
    </r>
  </si>
  <si>
    <t>B1,  9e sec. technique+expérience prof 2ans</t>
  </si>
  <si>
    <t>SF</t>
  </si>
  <si>
    <r>
      <t xml:space="preserve">Suppl.Hrs Ferie 100 % </t>
    </r>
    <r>
      <rPr>
        <b/>
        <sz val="10"/>
        <rFont val="Arial"/>
        <family val="2"/>
      </rPr>
      <t>Im</t>
    </r>
    <r>
      <rPr>
        <sz val="10"/>
        <rFont val="Arial"/>
        <family val="2"/>
      </rPr>
      <t>posable</t>
    </r>
  </si>
  <si>
    <t>employé détenteur d'un CATP ou CAP</t>
  </si>
  <si>
    <t>SN2</t>
  </si>
  <si>
    <r>
      <t xml:space="preserve">Suppl.Hrs Nuit 20 % </t>
    </r>
    <r>
      <rPr>
        <b/>
        <sz val="10"/>
        <rFont val="Arial"/>
        <family val="2"/>
      </rPr>
      <t>Im</t>
    </r>
    <r>
      <rPr>
        <sz val="10"/>
        <rFont val="Arial"/>
        <family val="2"/>
      </rPr>
      <t>posable</t>
    </r>
  </si>
  <si>
    <t xml:space="preserve">L'impôt déterminé à l'aide des formules </t>
  </si>
  <si>
    <t>C,détenteur d'un CATP ou CAP</t>
  </si>
  <si>
    <t>L87</t>
  </si>
  <si>
    <t>Formation interne</t>
  </si>
  <si>
    <t>générales est à arrondir au multiple inférieur de 10 cents</t>
  </si>
  <si>
    <t>test</t>
  </si>
  <si>
    <t>employé ayant réussi la classe de 3e secondaire</t>
  </si>
  <si>
    <t>L89</t>
  </si>
  <si>
    <t>Formation externe</t>
  </si>
  <si>
    <t>avant d'être majoré de 2,5%, (ce montant est</t>
  </si>
  <si>
    <t>réussi 5 années secondaire technique</t>
  </si>
  <si>
    <t>L90</t>
  </si>
  <si>
    <t xml:space="preserve">Maladie </t>
  </si>
  <si>
    <t>€/hr estimé:</t>
  </si>
  <si>
    <t>à arrondir au multiple inférieur de 10 cents).</t>
  </si>
  <si>
    <t>C1, technicien ,artisan avec brevet de maîtrise</t>
  </si>
  <si>
    <t>L92</t>
  </si>
  <si>
    <t>Réunion Interne</t>
  </si>
  <si>
    <t>Modération d' impôt pour chaque enfant:</t>
  </si>
  <si>
    <t>D,détenteur du certificat fin d'études secondaires</t>
  </si>
  <si>
    <t>L98</t>
  </si>
  <si>
    <t>Congés</t>
  </si>
  <si>
    <t>R' =R/2 + 42,5</t>
  </si>
  <si>
    <t>Classe:</t>
  </si>
  <si>
    <t>enfants:</t>
  </si>
  <si>
    <t>D,certificat de fin d'études secondaires techniques</t>
  </si>
  <si>
    <t>x</t>
  </si>
  <si>
    <t>xxx</t>
  </si>
  <si>
    <t>1 Formule de base (classe 1):</t>
  </si>
  <si>
    <t>a R' - b</t>
  </si>
  <si>
    <t>zu zahlen:</t>
  </si>
  <si>
    <t>D,ingénieur technicien</t>
  </si>
  <si>
    <t>2 Formule  (classe 1a)(R&lt;=2945)</t>
  </si>
  <si>
    <t>a ( 1.5 R - 1920 ) - b</t>
  </si>
  <si>
    <t>E,post secondaire Bac +2 et Bac +3</t>
  </si>
  <si>
    <t>xx</t>
  </si>
  <si>
    <t>3 Formule  (classe 1a)(R&gt;=2945)</t>
  </si>
  <si>
    <t>0.4 R - 938,7</t>
  </si>
  <si>
    <t>A,ouvrier auxiliaire</t>
  </si>
  <si>
    <t>OU 1.0</t>
  </si>
  <si>
    <t>4 Formule  (classe 2):</t>
  </si>
  <si>
    <t>a ( R+ 85 ) - 2b</t>
  </si>
  <si>
    <t>B,ouvrier</t>
  </si>
  <si>
    <t>Primes</t>
  </si>
  <si>
    <t>Impôt &lt; 1 euro =0</t>
  </si>
  <si>
    <t>C,aide socio-familiale</t>
  </si>
  <si>
    <t>CA5</t>
  </si>
  <si>
    <t>Allocation Famille (25-29 )</t>
  </si>
  <si>
    <t>C,non-diplômés chargés de travaux artisanaux</t>
  </si>
  <si>
    <t>Chef (15,30, 45, 60)</t>
  </si>
  <si>
    <t>Classe d' impôt :</t>
  </si>
  <si>
    <t>Chauffeur</t>
  </si>
  <si>
    <t>Habillement( 22.53 €)</t>
  </si>
  <si>
    <t>Enfants:</t>
  </si>
  <si>
    <t>D,artisan détenteur d’un CCM ou CITP</t>
  </si>
  <si>
    <t>ALB</t>
  </si>
  <si>
    <t>Brut total</t>
  </si>
  <si>
    <t>classe2</t>
  </si>
  <si>
    <t>Deduction net</t>
  </si>
  <si>
    <t>Imposable 108.5 :</t>
  </si>
  <si>
    <t>Cotisations</t>
  </si>
  <si>
    <t>R'   (=Rp)</t>
  </si>
  <si>
    <t>(-)enfants</t>
  </si>
  <si>
    <t>0%   ci 22</t>
  </si>
  <si>
    <t>LDH</t>
  </si>
  <si>
    <t>Maladie Soins</t>
  </si>
  <si>
    <t>Rp classe1</t>
  </si>
  <si>
    <t>18% ci 21</t>
  </si>
  <si>
    <t>LDJ</t>
  </si>
  <si>
    <t>Maladie Espèces</t>
  </si>
  <si>
    <t>Rp classe1a</t>
  </si>
  <si>
    <t>22% ci 2</t>
  </si>
  <si>
    <t>LCB</t>
  </si>
  <si>
    <t>Cotis. pension</t>
  </si>
  <si>
    <t>Rp classe 2</t>
  </si>
  <si>
    <t>classe1</t>
  </si>
  <si>
    <t>34% ci 1a1</t>
  </si>
  <si>
    <t>LCQ</t>
  </si>
  <si>
    <t>Contrib.Dépendance</t>
  </si>
  <si>
    <t>36% ci 1a</t>
  </si>
  <si>
    <t>EFD</t>
  </si>
  <si>
    <t>Abattement FD</t>
  </si>
  <si>
    <t>LIM</t>
  </si>
  <si>
    <t>Impos.périodique</t>
  </si>
  <si>
    <t>38% ci 1</t>
  </si>
  <si>
    <t>LIV</t>
  </si>
  <si>
    <t>Impôt mensuel</t>
  </si>
  <si>
    <t>ALN</t>
  </si>
  <si>
    <t xml:space="preserve">Net total </t>
  </si>
  <si>
    <t xml:space="preserve">classe1a R&lt;=3020 </t>
  </si>
  <si>
    <t>AVO</t>
  </si>
  <si>
    <t>Avance</t>
  </si>
  <si>
    <t>CIS</t>
  </si>
  <si>
    <t>Credit d'impôt salarié</t>
  </si>
  <si>
    <t>LNV</t>
  </si>
  <si>
    <t>Chambre des Salaries(31€)</t>
  </si>
  <si>
    <t>NET A PAYER</t>
  </si>
  <si>
    <t>Tabelle pour le calcul des congés, resp. du congé de maladie</t>
  </si>
  <si>
    <t>classe1a R&gt;=3020</t>
  </si>
  <si>
    <t>Période</t>
  </si>
  <si>
    <t>Supp DFN</t>
  </si>
  <si>
    <t>Supp HS</t>
  </si>
  <si>
    <t>Permanence</t>
  </si>
  <si>
    <t>S(p)</t>
  </si>
  <si>
    <t>Sm100</t>
  </si>
  <si>
    <t>Sm</t>
  </si>
  <si>
    <t>3 iéme mois précédent</t>
  </si>
  <si>
    <t>2 iéme mois précédent</t>
  </si>
  <si>
    <t>1ier mois précédent</t>
  </si>
  <si>
    <t>Tb</t>
  </si>
  <si>
    <t>une heure maladie calculé</t>
  </si>
  <si>
    <t>IMPOT:</t>
  </si>
  <si>
    <t>une heure congé calculé</t>
  </si>
  <si>
    <t>salaire social minimum index 100:</t>
  </si>
  <si>
    <t>salaire social minimum</t>
  </si>
  <si>
    <t>à partir 1.1.2015</t>
  </si>
  <si>
    <t>Changements:</t>
  </si>
  <si>
    <t>Date</t>
  </si>
  <si>
    <t>Augmentation SSM de 0,1%</t>
  </si>
  <si>
    <t>Adaptation valeur point à la foncion public de 2,3304 à 2,33035€</t>
  </si>
  <si>
    <t>Impôt d’équilibrage budgétaire temporaire (IEBT) 0,5%</t>
  </si>
  <si>
    <t>Impôt d’équilibrage budgétaire temporaire</t>
  </si>
  <si>
    <t>IEBT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</si>
</sst>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0.000"/>
    <numFmt numFmtId="168" formatCode="_-[$€-2]\ * #,##0.00_-;\-[$€-2]\ * #,##0.00_-;_-[$€-2]\ * \-??_-;_-@_-"/>
    <numFmt numFmtId="169" formatCode="_-[$€-2]\ * #,##0.00_-;\-[$€-2]\ * #,##0.00_-;_-[$€-2]\ * &quot;-&quot;??_-;_-@_-"/>
  </numFmts>
  <fonts count="54">
    <font>
      <sz val="10"/>
      <name val="Arial"/>
      <family val="2"/>
    </font>
    <font>
      <b/>
      <sz val="8"/>
      <color indexed="8"/>
      <name val="Tahoma"/>
      <family val="2"/>
    </font>
    <font>
      <sz val="8"/>
      <color indexed="8"/>
      <name val="Tahoma"/>
      <family val="2"/>
    </font>
    <font>
      <sz val="7"/>
      <name val="Arial"/>
      <family val="2"/>
    </font>
    <font>
      <b/>
      <u val="single"/>
      <sz val="10"/>
      <name val="Arial"/>
      <family val="2"/>
    </font>
    <font>
      <b/>
      <sz val="10"/>
      <name val="Arial"/>
      <family val="2"/>
    </font>
    <font>
      <u val="single"/>
      <sz val="8"/>
      <color indexed="12"/>
      <name val="Arial"/>
      <family val="2"/>
    </font>
    <font>
      <u val="single"/>
      <sz val="10"/>
      <color indexed="12"/>
      <name val="Arial"/>
      <family val="2"/>
    </font>
    <font>
      <b/>
      <sz val="10"/>
      <color indexed="9"/>
      <name val="Arial"/>
      <family val="2"/>
    </font>
    <font>
      <b/>
      <sz val="7"/>
      <color indexed="9"/>
      <name val="Arial"/>
      <family val="2"/>
    </font>
    <font>
      <b/>
      <u val="single"/>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2"/>
      <name val="Arial Black"/>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solid">
        <fgColor indexed="8"/>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indexed="13"/>
        <bgColor indexed="64"/>
      </patternFill>
    </fill>
    <fill>
      <patternFill patternType="solid">
        <fgColor indexed="12"/>
        <bgColor indexed="64"/>
      </patternFill>
    </fill>
    <fill>
      <patternFill patternType="solid">
        <fgColor indexed="42"/>
        <bgColor indexed="64"/>
      </patternFill>
    </fill>
    <fill>
      <patternFill patternType="solid">
        <fgColor indexed="50"/>
        <bgColor indexed="64"/>
      </patternFill>
    </fill>
    <fill>
      <patternFill patternType="solid">
        <fgColor indexed="15"/>
        <bgColor indexed="64"/>
      </patternFill>
    </fill>
    <fill>
      <patternFill patternType="solid">
        <fgColor indexed="1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64" fontId="0" fillId="0" borderId="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5" fontId="0" fillId="0" borderId="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3">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0" fillId="33" borderId="0" xfId="0" applyFont="1" applyFill="1" applyAlignment="1">
      <alignment horizontal="center"/>
    </xf>
    <xf numFmtId="0" fontId="0" fillId="0" borderId="0" xfId="0" applyFont="1" applyFill="1" applyAlignment="1" applyProtection="1">
      <alignment/>
      <protection locked="0"/>
    </xf>
    <xf numFmtId="0" fontId="0" fillId="33" borderId="0" xfId="0" applyFont="1" applyFill="1" applyAlignment="1">
      <alignment/>
    </xf>
    <xf numFmtId="0" fontId="0" fillId="34" borderId="0" xfId="0" applyFill="1" applyAlignment="1">
      <alignment/>
    </xf>
    <xf numFmtId="0" fontId="0" fillId="0" borderId="0" xfId="0" applyNumberFormat="1" applyFont="1" applyAlignment="1">
      <alignment horizontal="left"/>
    </xf>
    <xf numFmtId="0" fontId="0" fillId="0" borderId="0" xfId="0" applyNumberFormat="1" applyAlignment="1">
      <alignment horizontal="right"/>
    </xf>
    <xf numFmtId="0" fontId="0" fillId="35" borderId="10" xfId="0" applyFont="1" applyFill="1" applyBorder="1" applyAlignment="1">
      <alignment/>
    </xf>
    <xf numFmtId="0" fontId="0" fillId="35" borderId="10" xfId="0" applyFill="1" applyBorder="1" applyAlignment="1" applyProtection="1">
      <alignment/>
      <protection locked="0"/>
    </xf>
    <xf numFmtId="0" fontId="0" fillId="35" borderId="11" xfId="0" applyFill="1" applyBorder="1" applyAlignment="1">
      <alignment/>
    </xf>
    <xf numFmtId="0" fontId="0" fillId="0" borderId="0" xfId="0" applyFill="1" applyAlignment="1">
      <alignment/>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12" xfId="0" applyFill="1" applyBorder="1" applyAlignment="1">
      <alignment/>
    </xf>
    <xf numFmtId="166" fontId="0" fillId="33" borderId="0" xfId="0" applyNumberFormat="1" applyFill="1" applyAlignment="1" applyProtection="1">
      <alignment/>
      <protection/>
    </xf>
    <xf numFmtId="0" fontId="4" fillId="0" borderId="0" xfId="0" applyNumberFormat="1" applyFont="1" applyAlignment="1">
      <alignment horizontal="left"/>
    </xf>
    <xf numFmtId="0" fontId="5" fillId="0" borderId="0" xfId="0" applyNumberFormat="1" applyFont="1" applyAlignment="1">
      <alignment horizontal="left"/>
    </xf>
    <xf numFmtId="0" fontId="5" fillId="0" borderId="0" xfId="0" applyFont="1" applyAlignment="1">
      <alignment/>
    </xf>
    <xf numFmtId="0" fontId="0" fillId="35" borderId="13" xfId="0" applyFont="1" applyFill="1" applyBorder="1" applyAlignment="1">
      <alignment/>
    </xf>
    <xf numFmtId="0" fontId="0" fillId="35" borderId="13" xfId="0" applyFill="1" applyBorder="1" applyAlignment="1" applyProtection="1">
      <alignment/>
      <protection locked="0"/>
    </xf>
    <xf numFmtId="0" fontId="0" fillId="35" borderId="14" xfId="0" applyFill="1" applyBorder="1" applyAlignment="1">
      <alignment/>
    </xf>
    <xf numFmtId="0" fontId="0" fillId="0" borderId="0" xfId="0" applyNumberFormat="1" applyFill="1" applyAlignment="1">
      <alignment/>
    </xf>
    <xf numFmtId="0" fontId="0" fillId="36" borderId="0" xfId="0" applyFont="1" applyFill="1" applyAlignment="1">
      <alignment/>
    </xf>
    <xf numFmtId="0" fontId="0" fillId="33" borderId="15" xfId="0" applyFont="1" applyFill="1" applyBorder="1" applyAlignment="1">
      <alignment/>
    </xf>
    <xf numFmtId="0" fontId="0" fillId="37" borderId="0" xfId="0" applyFill="1" applyAlignment="1">
      <alignment/>
    </xf>
    <xf numFmtId="0" fontId="0" fillId="0" borderId="0" xfId="0" applyAlignment="1" applyProtection="1">
      <alignment horizontal="left"/>
      <protection locked="0"/>
    </xf>
    <xf numFmtId="0" fontId="0" fillId="38" borderId="0" xfId="0" applyFill="1" applyAlignment="1" applyProtection="1">
      <alignment/>
      <protection locked="0"/>
    </xf>
    <xf numFmtId="0" fontId="0" fillId="33" borderId="16" xfId="0" applyFont="1" applyFill="1" applyBorder="1" applyAlignment="1">
      <alignment/>
    </xf>
    <xf numFmtId="11" fontId="5" fillId="0" borderId="0" xfId="0" applyNumberFormat="1" applyFont="1" applyAlignment="1">
      <alignment horizontal="right"/>
    </xf>
    <xf numFmtId="0" fontId="5" fillId="0" borderId="0" xfId="0" applyNumberFormat="1" applyFont="1" applyAlignment="1">
      <alignment horizontal="right"/>
    </xf>
    <xf numFmtId="167" fontId="5" fillId="0" borderId="0" xfId="0" applyNumberFormat="1" applyFont="1" applyAlignment="1">
      <alignment horizontal="right"/>
    </xf>
    <xf numFmtId="0" fontId="0" fillId="38" borderId="0" xfId="0" applyFill="1" applyAlignment="1">
      <alignment/>
    </xf>
    <xf numFmtId="168" fontId="5" fillId="0" borderId="0" xfId="0" applyNumberFormat="1" applyFont="1" applyAlignment="1">
      <alignment horizontal="left"/>
    </xf>
    <xf numFmtId="168" fontId="5" fillId="0" borderId="0" xfId="0" applyNumberFormat="1" applyFont="1" applyAlignment="1">
      <alignment/>
    </xf>
    <xf numFmtId="0" fontId="6" fillId="35" borderId="16" xfId="47" applyNumberFormat="1" applyFont="1" applyFill="1" applyBorder="1" applyAlignment="1" applyProtection="1">
      <alignment horizontal="center" wrapText="1" shrinkToFit="1"/>
      <protection/>
    </xf>
    <xf numFmtId="2" fontId="0" fillId="0" borderId="0" xfId="0" applyNumberFormat="1" applyFill="1" applyAlignment="1" applyProtection="1">
      <alignment/>
      <protection locked="0"/>
    </xf>
    <xf numFmtId="9" fontId="0" fillId="38" borderId="0" xfId="0" applyNumberFormat="1" applyFill="1" applyAlignment="1">
      <alignment/>
    </xf>
    <xf numFmtId="0" fontId="5" fillId="39" borderId="0" xfId="0" applyFont="1" applyFill="1" applyAlignment="1">
      <alignment horizontal="left"/>
    </xf>
    <xf numFmtId="0" fontId="8" fillId="39" borderId="0" xfId="0" applyFont="1" applyFill="1" applyAlignment="1">
      <alignment/>
    </xf>
    <xf numFmtId="0" fontId="9" fillId="39" borderId="0" xfId="0" applyFont="1" applyFill="1" applyAlignment="1">
      <alignment/>
    </xf>
    <xf numFmtId="0" fontId="9" fillId="39" borderId="0" xfId="0" applyFont="1" applyFill="1" applyAlignment="1">
      <alignment horizontal="right"/>
    </xf>
    <xf numFmtId="0" fontId="9" fillId="39" borderId="0" xfId="0" applyFont="1" applyFill="1" applyAlignment="1">
      <alignment horizontal="center"/>
    </xf>
    <xf numFmtId="0" fontId="3" fillId="39" borderId="0" xfId="0" applyFont="1" applyFill="1" applyAlignment="1">
      <alignment/>
    </xf>
    <xf numFmtId="0" fontId="0" fillId="37" borderId="0" xfId="0" applyFill="1" applyAlignment="1">
      <alignment horizontal="left"/>
    </xf>
    <xf numFmtId="0" fontId="0" fillId="37" borderId="0" xfId="0" applyNumberFormat="1" applyFont="1" applyFill="1" applyAlignment="1">
      <alignment horizontal="left"/>
    </xf>
    <xf numFmtId="0" fontId="0" fillId="37" borderId="0" xfId="0" applyFill="1" applyAlignment="1" applyProtection="1">
      <alignment/>
      <protection/>
    </xf>
    <xf numFmtId="0" fontId="0" fillId="37" borderId="0" xfId="0" applyNumberFormat="1" applyFill="1" applyAlignment="1" applyProtection="1">
      <alignment/>
      <protection/>
    </xf>
    <xf numFmtId="9" fontId="0" fillId="38" borderId="0" xfId="0" applyNumberFormat="1" applyFill="1" applyBorder="1" applyAlignment="1">
      <alignment/>
    </xf>
    <xf numFmtId="0" fontId="0" fillId="37" borderId="0" xfId="0" applyFill="1" applyAlignment="1" applyProtection="1">
      <alignment/>
      <protection locked="0"/>
    </xf>
    <xf numFmtId="0" fontId="0" fillId="37" borderId="0" xfId="0" applyNumberFormat="1" applyFill="1" applyAlignment="1" applyProtection="1">
      <alignment/>
      <protection locked="0"/>
    </xf>
    <xf numFmtId="9" fontId="0" fillId="40" borderId="17" xfId="0" applyNumberFormat="1" applyFill="1" applyBorder="1" applyAlignment="1">
      <alignment/>
    </xf>
    <xf numFmtId="9" fontId="0" fillId="40" borderId="18" xfId="0" applyNumberFormat="1" applyFill="1" applyBorder="1" applyAlignment="1">
      <alignment/>
    </xf>
    <xf numFmtId="0" fontId="0" fillId="40" borderId="18" xfId="0" applyFill="1" applyBorder="1" applyAlignment="1">
      <alignment/>
    </xf>
    <xf numFmtId="3" fontId="0" fillId="37" borderId="0" xfId="0" applyNumberFormat="1" applyFill="1" applyAlignment="1" applyProtection="1">
      <alignment horizontal="right"/>
      <protection locked="0"/>
    </xf>
    <xf numFmtId="0" fontId="0" fillId="37"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8" fontId="5" fillId="0" borderId="0" xfId="0" applyNumberFormat="1" applyFont="1" applyAlignment="1">
      <alignment horizontal="right"/>
    </xf>
    <xf numFmtId="9" fontId="0" fillId="40" borderId="19" xfId="0" applyNumberFormat="1" applyFill="1" applyBorder="1" applyAlignment="1">
      <alignment/>
    </xf>
    <xf numFmtId="0" fontId="11" fillId="41" borderId="0" xfId="0" applyFont="1" applyFill="1" applyAlignment="1">
      <alignment/>
    </xf>
    <xf numFmtId="3" fontId="5" fillId="0" borderId="0" xfId="0" applyNumberFormat="1" applyFont="1" applyAlignment="1">
      <alignment horizontal="right"/>
    </xf>
    <xf numFmtId="0" fontId="0" fillId="0" borderId="0" xfId="0" applyFont="1" applyAlignment="1">
      <alignment horizontal="left"/>
    </xf>
    <xf numFmtId="2" fontId="5" fillId="0" borderId="0" xfId="0" applyNumberFormat="1" applyFont="1" applyAlignment="1">
      <alignment horizontal="right"/>
    </xf>
    <xf numFmtId="167" fontId="5" fillId="0" borderId="0" xfId="0" applyNumberFormat="1" applyFont="1" applyAlignment="1">
      <alignment horizontal="left"/>
    </xf>
    <xf numFmtId="0" fontId="0" fillId="0" borderId="0" xfId="0" applyFont="1" applyAlignment="1">
      <alignment horizontal="left" wrapText="1"/>
    </xf>
    <xf numFmtId="0" fontId="0" fillId="38" borderId="0" xfId="0" applyNumberFormat="1" applyFont="1" applyFill="1" applyAlignment="1">
      <alignment horizontal="left"/>
    </xf>
    <xf numFmtId="0" fontId="12" fillId="37" borderId="20" xfId="0" applyFont="1" applyFill="1" applyBorder="1" applyAlignment="1">
      <alignment horizontal="right"/>
    </xf>
    <xf numFmtId="0" fontId="0" fillId="0" borderId="21" xfId="0" applyNumberFormat="1" applyFill="1" applyBorder="1" applyAlignment="1" applyProtection="1">
      <alignment/>
      <protection locked="0"/>
    </xf>
    <xf numFmtId="0" fontId="11" fillId="0" borderId="0" xfId="0" applyNumberFormat="1" applyFont="1" applyAlignment="1">
      <alignment horizontal="left"/>
    </xf>
    <xf numFmtId="0" fontId="11" fillId="0" borderId="0" xfId="0" applyFont="1" applyAlignment="1">
      <alignment/>
    </xf>
    <xf numFmtId="168" fontId="11" fillId="0" borderId="0" xfId="0" applyNumberFormat="1" applyFont="1" applyAlignment="1">
      <alignment/>
    </xf>
    <xf numFmtId="0" fontId="0" fillId="42" borderId="22" xfId="0" applyFill="1" applyBorder="1" applyAlignment="1">
      <alignment/>
    </xf>
    <xf numFmtId="0" fontId="0" fillId="0" borderId="23" xfId="0" applyBorder="1" applyAlignment="1">
      <alignment/>
    </xf>
    <xf numFmtId="168" fontId="0" fillId="0" borderId="0" xfId="0" applyNumberFormat="1" applyAlignment="1">
      <alignment/>
    </xf>
    <xf numFmtId="0" fontId="0" fillId="33" borderId="24" xfId="0" applyFont="1" applyFill="1" applyBorder="1" applyAlignment="1">
      <alignment/>
    </xf>
    <xf numFmtId="0" fontId="0" fillId="41" borderId="25" xfId="0" applyFont="1" applyFill="1" applyBorder="1" applyAlignment="1">
      <alignment/>
    </xf>
    <xf numFmtId="0" fontId="0" fillId="40" borderId="24" xfId="0" applyFill="1" applyBorder="1" applyAlignment="1">
      <alignment/>
    </xf>
    <xf numFmtId="0" fontId="0" fillId="40" borderId="25" xfId="0" applyFill="1" applyBorder="1" applyAlignment="1">
      <alignment/>
    </xf>
    <xf numFmtId="0" fontId="5" fillId="37" borderId="0" xfId="0" applyFont="1" applyFill="1" applyAlignment="1">
      <alignment/>
    </xf>
    <xf numFmtId="3" fontId="0" fillId="37" borderId="0" xfId="0" applyNumberFormat="1" applyFill="1" applyAlignment="1">
      <alignment horizontal="right"/>
    </xf>
    <xf numFmtId="0" fontId="0" fillId="37" borderId="0" xfId="0" applyNumberFormat="1" applyFill="1" applyAlignment="1" applyProtection="1">
      <alignment horizontal="left"/>
      <protection locked="0"/>
    </xf>
    <xf numFmtId="0" fontId="0" fillId="0" borderId="0" xfId="0" applyNumberFormat="1" applyFill="1" applyAlignment="1" applyProtection="1">
      <alignment/>
      <protection locked="0"/>
    </xf>
    <xf numFmtId="168" fontId="0" fillId="38" borderId="0" xfId="0" applyNumberFormat="1" applyFill="1" applyAlignment="1">
      <alignment/>
    </xf>
    <xf numFmtId="0" fontId="0" fillId="40" borderId="26" xfId="0" applyNumberFormat="1" applyFont="1" applyFill="1" applyBorder="1" applyAlignment="1">
      <alignment horizontal="right"/>
    </xf>
    <xf numFmtId="9" fontId="0" fillId="40" borderId="26" xfId="0" applyNumberFormat="1" applyFont="1" applyFill="1" applyBorder="1" applyAlignment="1">
      <alignment/>
    </xf>
    <xf numFmtId="168" fontId="0" fillId="40" borderId="23" xfId="0" applyNumberFormat="1" applyFont="1" applyFill="1" applyBorder="1" applyAlignment="1">
      <alignment/>
    </xf>
    <xf numFmtId="0" fontId="5" fillId="37" borderId="0" xfId="0" applyNumberFormat="1" applyFont="1" applyFill="1" applyAlignment="1">
      <alignment horizontal="left"/>
    </xf>
    <xf numFmtId="0" fontId="0" fillId="0" borderId="27" xfId="0" applyFont="1" applyBorder="1" applyAlignment="1">
      <alignment/>
    </xf>
    <xf numFmtId="168" fontId="0" fillId="38" borderId="17" xfId="0" applyNumberFormat="1" applyFill="1" applyBorder="1" applyAlignment="1">
      <alignment/>
    </xf>
    <xf numFmtId="0" fontId="0" fillId="0" borderId="25" xfId="0" applyBorder="1" applyAlignment="1">
      <alignment/>
    </xf>
    <xf numFmtId="0" fontId="0" fillId="40" borderId="0" xfId="0" applyNumberFormat="1" applyFont="1" applyFill="1" applyBorder="1" applyAlignment="1">
      <alignment horizontal="right"/>
    </xf>
    <xf numFmtId="9" fontId="0" fillId="40" borderId="0" xfId="0" applyNumberFormat="1" applyFont="1" applyFill="1" applyBorder="1" applyAlignment="1">
      <alignment/>
    </xf>
    <xf numFmtId="168" fontId="0" fillId="40" borderId="25" xfId="0" applyNumberFormat="1" applyFont="1" applyFill="1" applyBorder="1" applyAlignment="1">
      <alignment/>
    </xf>
    <xf numFmtId="0" fontId="13" fillId="37" borderId="0" xfId="0" applyNumberFormat="1" applyFont="1" applyFill="1" applyAlignment="1">
      <alignment horizontal="left"/>
    </xf>
    <xf numFmtId="0" fontId="13" fillId="37"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37" borderId="0" xfId="0" applyNumberFormat="1" applyFont="1" applyFill="1" applyAlignment="1" applyProtection="1">
      <alignment horizontal="right"/>
      <protection locked="0"/>
    </xf>
    <xf numFmtId="3" fontId="13" fillId="37" borderId="0" xfId="0" applyNumberFormat="1" applyFont="1" applyFill="1" applyAlignment="1">
      <alignment horizontal="right"/>
    </xf>
    <xf numFmtId="0" fontId="13" fillId="37" borderId="0" xfId="0" applyFont="1" applyFill="1" applyAlignment="1">
      <alignment/>
    </xf>
    <xf numFmtId="0" fontId="0" fillId="38" borderId="18" xfId="0" applyFill="1" applyBorder="1" applyAlignment="1">
      <alignment/>
    </xf>
    <xf numFmtId="0" fontId="0" fillId="33" borderId="28" xfId="0" applyFill="1" applyBorder="1" applyAlignment="1">
      <alignment/>
    </xf>
    <xf numFmtId="0" fontId="0" fillId="0" borderId="29" xfId="0" applyBorder="1" applyAlignment="1">
      <alignment/>
    </xf>
    <xf numFmtId="0" fontId="0" fillId="40" borderId="0" xfId="0" applyFont="1" applyFill="1" applyBorder="1" applyAlignment="1">
      <alignment horizontal="left"/>
    </xf>
    <xf numFmtId="0" fontId="0" fillId="37" borderId="0" xfId="0" applyNumberFormat="1" applyFill="1" applyAlignment="1">
      <alignment horizontal="right"/>
    </xf>
    <xf numFmtId="0" fontId="14" fillId="37" borderId="0" xfId="0" applyFont="1" applyFill="1" applyAlignment="1">
      <alignment/>
    </xf>
    <xf numFmtId="0" fontId="0" fillId="0" borderId="0" xfId="0" applyFont="1" applyAlignment="1">
      <alignment horizontal="right"/>
    </xf>
    <xf numFmtId="168" fontId="0" fillId="38" borderId="18" xfId="0" applyNumberFormat="1" applyFill="1" applyBorder="1" applyAlignment="1">
      <alignment/>
    </xf>
    <xf numFmtId="0" fontId="0" fillId="40" borderId="24" xfId="0" applyNumberFormat="1" applyFont="1" applyFill="1" applyBorder="1" applyAlignment="1">
      <alignment horizontal="right"/>
    </xf>
    <xf numFmtId="9" fontId="0" fillId="40" borderId="0" xfId="0" applyNumberFormat="1" applyFont="1" applyFill="1" applyBorder="1" applyAlignment="1">
      <alignment horizontal="left"/>
    </xf>
    <xf numFmtId="0" fontId="0" fillId="0" borderId="0" xfId="0" applyBorder="1" applyAlignment="1">
      <alignment/>
    </xf>
    <xf numFmtId="10" fontId="0" fillId="37" borderId="0" xfId="0" applyNumberFormat="1" applyFill="1" applyAlignment="1">
      <alignment/>
    </xf>
    <xf numFmtId="10" fontId="0" fillId="0" borderId="0" xfId="0" applyNumberFormat="1" applyAlignment="1">
      <alignment/>
    </xf>
    <xf numFmtId="168" fontId="0" fillId="36" borderId="19" xfId="0" applyNumberFormat="1" applyFill="1" applyBorder="1" applyAlignment="1">
      <alignment/>
    </xf>
    <xf numFmtId="0" fontId="0" fillId="38" borderId="17" xfId="0" applyFill="1" applyBorder="1" applyAlignment="1">
      <alignment/>
    </xf>
    <xf numFmtId="0" fontId="5" fillId="37" borderId="0" xfId="0" applyFont="1" applyFill="1" applyBorder="1" applyAlignment="1">
      <alignment/>
    </xf>
    <xf numFmtId="10" fontId="0" fillId="37" borderId="0" xfId="0" applyNumberFormat="1" applyFill="1" applyAlignment="1">
      <alignment horizontal="right"/>
    </xf>
    <xf numFmtId="0" fontId="0" fillId="37" borderId="0" xfId="0" applyFont="1" applyFill="1" applyBorder="1" applyAlignment="1">
      <alignment/>
    </xf>
    <xf numFmtId="0" fontId="14" fillId="37" borderId="0" xfId="0" applyNumberFormat="1" applyFont="1" applyFill="1" applyAlignment="1">
      <alignment horizontal="right"/>
    </xf>
    <xf numFmtId="168" fontId="0" fillId="37" borderId="0" xfId="0" applyNumberFormat="1" applyFill="1" applyAlignment="1">
      <alignment/>
    </xf>
    <xf numFmtId="0" fontId="0" fillId="40" borderId="28" xfId="0" applyNumberFormat="1" applyFont="1" applyFill="1" applyBorder="1" applyAlignment="1">
      <alignment horizontal="right"/>
    </xf>
    <xf numFmtId="9" fontId="0" fillId="40" borderId="30" xfId="0" applyNumberFormat="1" applyFont="1" applyFill="1" applyBorder="1" applyAlignment="1">
      <alignment horizontal="left"/>
    </xf>
    <xf numFmtId="168" fontId="0" fillId="40" borderId="29" xfId="0" applyNumberFormat="1" applyFont="1" applyFill="1" applyBorder="1" applyAlignment="1">
      <alignment/>
    </xf>
    <xf numFmtId="168" fontId="0" fillId="0" borderId="0" xfId="0" applyNumberFormat="1" applyFill="1" applyAlignment="1">
      <alignment/>
    </xf>
    <xf numFmtId="3" fontId="5" fillId="37" borderId="0" xfId="0" applyNumberFormat="1" applyFont="1" applyFill="1" applyAlignment="1">
      <alignment horizontal="right"/>
    </xf>
    <xf numFmtId="3" fontId="5" fillId="37" borderId="0" xfId="0" applyNumberFormat="1" applyFont="1" applyFill="1" applyAlignment="1">
      <alignment horizontal="left"/>
    </xf>
    <xf numFmtId="168" fontId="5" fillId="37" borderId="0" xfId="0" applyNumberFormat="1" applyFont="1" applyFill="1" applyAlignment="1">
      <alignment/>
    </xf>
    <xf numFmtId="2" fontId="0" fillId="37" borderId="0" xfId="0" applyNumberFormat="1" applyFill="1" applyAlignment="1">
      <alignment horizontal="right"/>
    </xf>
    <xf numFmtId="3" fontId="0" fillId="33" borderId="0" xfId="0" applyNumberFormat="1" applyFill="1" applyAlignment="1">
      <alignment horizontal="right"/>
    </xf>
    <xf numFmtId="168" fontId="0" fillId="33" borderId="0" xfId="0" applyNumberFormat="1" applyFill="1" applyAlignment="1">
      <alignment/>
    </xf>
    <xf numFmtId="3" fontId="0" fillId="0" borderId="31" xfId="0" applyNumberFormat="1" applyFill="1" applyBorder="1" applyAlignment="1" applyProtection="1">
      <alignment horizontal="right"/>
      <protection locked="0"/>
    </xf>
    <xf numFmtId="0" fontId="0" fillId="0" borderId="31" xfId="0" applyFill="1" applyBorder="1" applyAlignment="1" applyProtection="1">
      <alignment/>
      <protection locked="0"/>
    </xf>
    <xf numFmtId="0" fontId="0" fillId="33" borderId="0" xfId="0" applyNumberFormat="1" applyFont="1" applyFill="1" applyAlignment="1">
      <alignment horizontal="left"/>
    </xf>
    <xf numFmtId="0" fontId="0" fillId="36" borderId="0" xfId="0" applyFill="1" applyAlignment="1" applyProtection="1">
      <alignment/>
      <protection/>
    </xf>
    <xf numFmtId="0" fontId="0" fillId="43" borderId="0" xfId="0" applyFont="1" applyFill="1" applyAlignment="1">
      <alignment/>
    </xf>
    <xf numFmtId="0" fontId="0" fillId="36" borderId="0" xfId="0" applyFill="1" applyBorder="1" applyAlignment="1" applyProtection="1">
      <alignment/>
      <protection locked="0"/>
    </xf>
    <xf numFmtId="0" fontId="0" fillId="0" borderId="0" xfId="0" applyFill="1" applyBorder="1" applyAlignment="1" applyProtection="1">
      <alignment/>
      <protection locked="0"/>
    </xf>
    <xf numFmtId="0" fontId="15" fillId="37" borderId="0" xfId="0" applyFont="1" applyFill="1" applyAlignment="1">
      <alignment horizontal="right" wrapText="1"/>
    </xf>
    <xf numFmtId="0" fontId="0" fillId="34" borderId="0" xfId="0" applyFill="1" applyAlignment="1">
      <alignment horizontal="left"/>
    </xf>
    <xf numFmtId="14" fontId="0" fillId="0" borderId="0" xfId="0" applyNumberFormat="1" applyAlignment="1">
      <alignment horizontal="left"/>
    </xf>
    <xf numFmtId="0" fontId="3" fillId="35" borderId="15" xfId="0" applyFont="1" applyFill="1" applyBorder="1" applyAlignment="1">
      <alignment horizontal="center" vertical="center" wrapText="1" shrinkToFit="1"/>
    </xf>
    <xf numFmtId="0" fontId="0" fillId="33" borderId="0" xfId="0" applyFont="1" applyFill="1" applyBorder="1" applyAlignment="1">
      <alignment horizontal="left"/>
    </xf>
    <xf numFmtId="0" fontId="4" fillId="33" borderId="0"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69</xdr:row>
      <xdr:rowOff>114300</xdr:rowOff>
    </xdr:from>
    <xdr:to>
      <xdr:col>6</xdr:col>
      <xdr:colOff>981075</xdr:colOff>
      <xdr:row>70</xdr:row>
      <xdr:rowOff>161925</xdr:rowOff>
    </xdr:to>
    <xdr:sp>
      <xdr:nvSpPr>
        <xdr:cNvPr id="1" name="AutoShape 315"/>
        <xdr:cNvSpPr>
          <a:spLocks/>
        </xdr:cNvSpPr>
      </xdr:nvSpPr>
      <xdr:spPr>
        <a:xfrm>
          <a:off x="4838700" y="11420475"/>
          <a:ext cx="2076450" cy="238125"/>
        </a:xfrm>
        <a:prstGeom prst="rect">
          <a:avLst/>
        </a:prstGeom>
        <a:noFill/>
        <a:ln w="9525" cmpd="sng">
          <a:noFill/>
        </a:ln>
      </xdr:spPr>
      <xdr:txBody>
        <a:bodyPr vertOverflow="clip" wrap="square"/>
        <a:p>
          <a:pPr algn="dist">
            <a:defRPr/>
          </a:pPr>
          <a:r>
            <a:rPr lang="en-US" cap="none" sz="1200" b="0" i="0" u="none" baseline="0"/>
            <a:t>SANS GARANTIE
</a:t>
          </a:r>
          <a:r>
            <a:rPr lang="en-US" cap="none" sz="1200" b="0" i="0" u="none" baseline="0"/>
            <a:t>COPYRIGHTS: FRÄNK SIEBENALLER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Z79"/>
  <sheetViews>
    <sheetView tabSelected="1" zoomScalePageLayoutView="0" workbookViewId="0" topLeftCell="A1">
      <selection activeCell="A2" sqref="A2:A8"/>
    </sheetView>
  </sheetViews>
  <sheetFormatPr defaultColWidth="10.28125" defaultRowHeight="12.75"/>
  <cols>
    <col min="1" max="1" width="14.57421875" style="1" customWidth="1"/>
    <col min="2" max="2" width="32.28125" style="0" customWidth="1"/>
    <col min="3" max="3" width="9.7109375" style="0" customWidth="1"/>
    <col min="4" max="4" width="10.28125" style="0" customWidth="1"/>
    <col min="5" max="5" width="11.8515625" style="0" customWidth="1"/>
    <col min="6" max="6" width="10.28125" style="0" customWidth="1"/>
    <col min="7" max="7" width="15.8515625" style="0" customWidth="1"/>
    <col min="8" max="8" width="8.421875" style="0" customWidth="1"/>
    <col min="9" max="9" width="91.57421875" style="0" customWidth="1"/>
    <col min="10" max="10" width="10.28125" style="0" customWidth="1"/>
    <col min="11" max="11" width="16.140625" style="0" customWidth="1"/>
    <col min="12" max="12" width="21.7109375" style="0" customWidth="1"/>
    <col min="13" max="13" width="17.28125" style="0" customWidth="1"/>
    <col min="14" max="14" width="18.57421875" style="0" customWidth="1"/>
    <col min="15" max="15" width="14.421875" style="0" customWidth="1"/>
    <col min="16" max="16" width="12.140625" style="0" customWidth="1"/>
    <col min="17" max="17" width="17.8515625" style="0" customWidth="1"/>
    <col min="18" max="18" width="10.28125" style="0" customWidth="1"/>
    <col min="19" max="19" width="11.00390625" style="0" customWidth="1"/>
    <col min="20" max="20" width="10.28125" style="0" customWidth="1"/>
    <col min="21" max="21" width="12.00390625" style="0" customWidth="1"/>
    <col min="22" max="41" width="10.28125" style="0" customWidth="1"/>
    <col min="42" max="42" width="43.7109375" style="1" customWidth="1"/>
    <col min="43" max="43" width="10.28125" style="0" customWidth="1"/>
    <col min="44" max="44" width="19.140625" style="0" customWidth="1"/>
    <col min="45" max="50" width="10.28125" style="0" customWidth="1"/>
    <col min="51" max="51" width="0" style="0" hidden="1" customWidth="1"/>
  </cols>
  <sheetData>
    <row r="1" spans="1:48" ht="16.5" customHeight="1">
      <c r="A1" s="2"/>
      <c r="B1" s="3" t="s">
        <v>0</v>
      </c>
      <c r="C1" s="4" t="s">
        <v>1</v>
      </c>
      <c r="D1" s="4"/>
      <c r="E1" s="5" t="s">
        <v>2</v>
      </c>
      <c r="F1" s="4">
        <v>7.7517</v>
      </c>
      <c r="G1" s="5"/>
      <c r="H1" s="5"/>
      <c r="I1" s="6"/>
      <c r="J1" t="b">
        <f>FALSE</f>
        <v>0</v>
      </c>
      <c r="N1" s="7" t="s">
        <v>3</v>
      </c>
      <c r="V1" s="8">
        <v>52</v>
      </c>
      <c r="Z1" s="7"/>
      <c r="AL1" s="8"/>
      <c r="AR1" t="s">
        <v>4</v>
      </c>
      <c r="AS1">
        <f>C4</f>
        <v>9</v>
      </c>
      <c r="AT1">
        <f>C3</f>
        <v>1991</v>
      </c>
      <c r="AV1">
        <f>INDEX(T6:AN34,AU4,AO48)</f>
        <v>0</v>
      </c>
    </row>
    <row r="2" spans="1:46" ht="16.5" customHeight="1">
      <c r="A2" s="140"/>
      <c r="B2" s="9" t="s">
        <v>5</v>
      </c>
      <c r="C2" s="10"/>
      <c r="D2" s="11"/>
      <c r="E2" s="5" t="s">
        <v>6</v>
      </c>
      <c r="F2" s="12">
        <v>111</v>
      </c>
      <c r="G2" s="5"/>
      <c r="H2" s="5"/>
      <c r="I2" s="6"/>
      <c r="J2" t="b">
        <v>0</v>
      </c>
      <c r="L2" s="7" t="s">
        <v>7</v>
      </c>
      <c r="V2" s="7" t="s">
        <v>8</v>
      </c>
      <c r="Z2" s="7"/>
      <c r="AL2" s="8"/>
      <c r="AR2" t="s">
        <v>9</v>
      </c>
      <c r="AS2">
        <f>C8</f>
        <v>8</v>
      </c>
      <c r="AT2">
        <f>C7</f>
        <v>2009</v>
      </c>
    </row>
    <row r="3" spans="1:47" ht="12.75">
      <c r="A3" s="140"/>
      <c r="B3" s="13" t="s">
        <v>10</v>
      </c>
      <c r="C3" s="14">
        <v>1991</v>
      </c>
      <c r="D3" s="15"/>
      <c r="E3" s="5" t="s">
        <v>11</v>
      </c>
      <c r="F3" s="16">
        <f>G4*F1</f>
        <v>18.064174095</v>
      </c>
      <c r="G3" s="5"/>
      <c r="H3" s="5"/>
      <c r="I3" s="6"/>
      <c r="O3" s="17"/>
      <c r="S3" s="7" t="s">
        <v>12</v>
      </c>
      <c r="Z3" s="18" t="s">
        <v>13</v>
      </c>
      <c r="AB3" s="7"/>
      <c r="AD3" s="8"/>
      <c r="AJ3" s="18" t="s">
        <v>14</v>
      </c>
      <c r="AK3" s="19"/>
      <c r="AL3" s="19"/>
      <c r="AM3" s="19"/>
      <c r="AN3" s="19"/>
      <c r="AS3">
        <f>12-AS1+AS2</f>
        <v>11</v>
      </c>
      <c r="AT3">
        <f>(AT2-AT1)*12-12</f>
        <v>204</v>
      </c>
      <c r="AU3">
        <f>(SUM(AS3:AT3))/12</f>
        <v>17.916666666666668</v>
      </c>
    </row>
    <row r="4" spans="1:47" ht="12.75">
      <c r="A4" s="140"/>
      <c r="B4" s="20" t="s">
        <v>15</v>
      </c>
      <c r="C4" s="21">
        <v>9</v>
      </c>
      <c r="D4" s="22"/>
      <c r="E4" s="5" t="s">
        <v>16</v>
      </c>
      <c r="F4" s="5"/>
      <c r="G4" s="23">
        <f>2.33035</f>
        <v>2.33035</v>
      </c>
      <c r="H4" s="5"/>
      <c r="I4" s="6"/>
      <c r="L4" s="17" t="s">
        <v>17</v>
      </c>
      <c r="S4" s="18" t="s">
        <v>18</v>
      </c>
      <c r="T4" s="18" t="s">
        <v>19</v>
      </c>
      <c r="U4" s="18" t="s">
        <v>19</v>
      </c>
      <c r="V4" s="18" t="s">
        <v>19</v>
      </c>
      <c r="W4" s="18" t="s">
        <v>19</v>
      </c>
      <c r="X4" s="18" t="s">
        <v>19</v>
      </c>
      <c r="AB4" s="18" t="s">
        <v>19</v>
      </c>
      <c r="AC4" s="18" t="s">
        <v>19</v>
      </c>
      <c r="AD4" s="18" t="s">
        <v>19</v>
      </c>
      <c r="AE4" s="18" t="s">
        <v>19</v>
      </c>
      <c r="AF4" s="18" t="s">
        <v>19</v>
      </c>
      <c r="AG4" s="18" t="s">
        <v>19</v>
      </c>
      <c r="AH4" s="18" t="s">
        <v>19</v>
      </c>
      <c r="AJ4" s="18" t="s">
        <v>18</v>
      </c>
      <c r="AK4" s="18" t="s">
        <v>19</v>
      </c>
      <c r="AL4" s="18" t="s">
        <v>19</v>
      </c>
      <c r="AM4" s="18" t="s">
        <v>19</v>
      </c>
      <c r="AN4" s="18" t="s">
        <v>19</v>
      </c>
      <c r="AR4" s="24" t="s">
        <v>20</v>
      </c>
      <c r="AU4">
        <f>IF(ROUNDUP(AU3,0)&gt;28,28,ROUNDUP(AU3,0))</f>
        <v>18</v>
      </c>
    </row>
    <row r="5" spans="1:44" ht="17.25" customHeight="1">
      <c r="A5" s="140"/>
      <c r="B5" s="25" t="s">
        <v>21</v>
      </c>
      <c r="C5" s="26"/>
      <c r="D5" s="5"/>
      <c r="E5" s="5"/>
      <c r="F5" s="5"/>
      <c r="G5" s="5"/>
      <c r="H5" s="5"/>
      <c r="I5" s="6"/>
      <c r="T5" s="18" t="s">
        <v>22</v>
      </c>
      <c r="U5" s="18" t="s">
        <v>23</v>
      </c>
      <c r="V5" s="18" t="s">
        <v>24</v>
      </c>
      <c r="W5" s="18" t="s">
        <v>25</v>
      </c>
      <c r="X5" s="18" t="s">
        <v>26</v>
      </c>
      <c r="AA5" s="18" t="s">
        <v>18</v>
      </c>
      <c r="AB5" s="18" t="s">
        <v>27</v>
      </c>
      <c r="AC5" s="18" t="s">
        <v>28</v>
      </c>
      <c r="AD5" s="18" t="s">
        <v>29</v>
      </c>
      <c r="AE5" s="18" t="s">
        <v>30</v>
      </c>
      <c r="AF5" s="18" t="s">
        <v>31</v>
      </c>
      <c r="AG5" s="18" t="s">
        <v>32</v>
      </c>
      <c r="AH5" s="18" t="s">
        <v>33</v>
      </c>
      <c r="AJ5" s="19"/>
      <c r="AK5" s="18" t="s">
        <v>34</v>
      </c>
      <c r="AL5" s="18" t="s">
        <v>35</v>
      </c>
      <c r="AM5" s="18" t="s">
        <v>36</v>
      </c>
      <c r="AN5" s="18" t="s">
        <v>37</v>
      </c>
      <c r="AP5" s="27">
        <v>35</v>
      </c>
      <c r="AR5" s="28">
        <v>1</v>
      </c>
    </row>
    <row r="6" spans="1:44" ht="12.75">
      <c r="A6" s="140"/>
      <c r="B6" s="29" t="s">
        <v>38</v>
      </c>
      <c r="C6" s="4">
        <v>7</v>
      </c>
      <c r="D6" s="5" t="s">
        <v>39</v>
      </c>
      <c r="E6" s="5"/>
      <c r="F6" s="5">
        <f>IF(C6&lt;5,0,AT25)</f>
        <v>24.75</v>
      </c>
      <c r="G6" s="5"/>
      <c r="H6" s="5"/>
      <c r="I6" s="6"/>
      <c r="K6" s="18" t="s">
        <v>40</v>
      </c>
      <c r="M6" s="30"/>
      <c r="N6" s="31" t="s">
        <v>41</v>
      </c>
      <c r="O6" s="32" t="s">
        <v>42</v>
      </c>
      <c r="P6" t="s">
        <v>41</v>
      </c>
      <c r="Q6" t="s">
        <v>42</v>
      </c>
      <c r="S6" s="8">
        <v>0</v>
      </c>
      <c r="T6" s="8"/>
      <c r="U6" s="8"/>
      <c r="V6" s="8"/>
      <c r="W6" s="8"/>
      <c r="X6" s="8"/>
      <c r="AA6" s="8">
        <v>0</v>
      </c>
      <c r="AB6" s="8"/>
      <c r="AC6" s="8"/>
      <c r="AD6" s="8"/>
      <c r="AE6" s="8"/>
      <c r="AF6" s="8"/>
      <c r="AG6" s="8"/>
      <c r="AH6" s="8"/>
      <c r="AJ6" s="8">
        <v>0</v>
      </c>
      <c r="AK6" s="8"/>
      <c r="AL6" s="8"/>
      <c r="AM6" s="8"/>
      <c r="AN6" s="8"/>
      <c r="AO6" s="8">
        <v>1</v>
      </c>
      <c r="AP6" s="1" t="s">
        <v>43</v>
      </c>
      <c r="AQ6" t="s">
        <v>22</v>
      </c>
      <c r="AR6" s="33">
        <v>1</v>
      </c>
    </row>
    <row r="7" spans="1:44" ht="12.75">
      <c r="A7" s="140"/>
      <c r="B7" s="9" t="s">
        <v>44</v>
      </c>
      <c r="C7" s="10">
        <v>2009</v>
      </c>
      <c r="D7" s="11"/>
      <c r="E7" s="5"/>
      <c r="F7" s="5"/>
      <c r="G7" s="5"/>
      <c r="H7" s="5"/>
      <c r="I7" s="6"/>
      <c r="J7" s="19">
        <v>1</v>
      </c>
      <c r="K7" s="34">
        <v>0</v>
      </c>
      <c r="L7" s="19"/>
      <c r="M7" s="35">
        <v>1023.75</v>
      </c>
      <c r="O7">
        <v>0</v>
      </c>
      <c r="P7" s="19">
        <f>IF(Rp&gt;$M7,0,IF(Rp&gt;$K7,N7,0))</f>
        <v>0</v>
      </c>
      <c r="Q7" s="19">
        <f aca="true" t="shared" si="0" ref="Q7:Q25">IF(Rp&gt;$M7,0,IF(Rp&gt;$K7,O7,0))</f>
        <v>0</v>
      </c>
      <c r="R7" s="19"/>
      <c r="S7" s="8">
        <v>1</v>
      </c>
      <c r="T7" s="8"/>
      <c r="U7" s="8"/>
      <c r="V7" s="8"/>
      <c r="W7" s="8"/>
      <c r="X7" s="8"/>
      <c r="AA7" s="8">
        <v>1</v>
      </c>
      <c r="AB7" s="8"/>
      <c r="AC7" s="8"/>
      <c r="AD7" s="8"/>
      <c r="AE7" s="8"/>
      <c r="AF7" s="8"/>
      <c r="AG7" s="8"/>
      <c r="AH7" s="8"/>
      <c r="AJ7" s="8">
        <v>1</v>
      </c>
      <c r="AK7" s="8"/>
      <c r="AL7" s="8"/>
      <c r="AM7" s="8"/>
      <c r="AN7" s="8"/>
      <c r="AO7" s="8">
        <v>2</v>
      </c>
      <c r="AP7" s="1" t="s">
        <v>45</v>
      </c>
      <c r="AQ7" t="s">
        <v>23</v>
      </c>
      <c r="AR7" s="33">
        <v>2</v>
      </c>
    </row>
    <row r="8" spans="1:44" ht="12.75">
      <c r="A8" s="36"/>
      <c r="B8" s="20" t="s">
        <v>46</v>
      </c>
      <c r="C8" s="21">
        <v>8</v>
      </c>
      <c r="D8" s="22"/>
      <c r="E8" s="5"/>
      <c r="F8" s="5"/>
      <c r="G8" s="5"/>
      <c r="H8" s="5"/>
      <c r="I8" s="6"/>
      <c r="J8" s="19">
        <v>2</v>
      </c>
      <c r="K8" s="34">
        <v>1023.76</v>
      </c>
      <c r="L8" s="19"/>
      <c r="M8" s="35">
        <v>1182.75</v>
      </c>
      <c r="N8">
        <v>0.08</v>
      </c>
      <c r="O8">
        <v>81.9</v>
      </c>
      <c r="P8" s="19">
        <f aca="true" t="shared" si="1" ref="P8:P21">IF(Rp&gt;M8,0,IF(Rp&gt;K8,N8,0))</f>
        <v>0</v>
      </c>
      <c r="Q8" s="19">
        <f t="shared" si="0"/>
        <v>0</v>
      </c>
      <c r="R8" s="19"/>
      <c r="S8" s="8">
        <v>2</v>
      </c>
      <c r="T8" s="8"/>
      <c r="U8" s="8"/>
      <c r="V8" s="8"/>
      <c r="W8" s="8"/>
      <c r="X8" s="8"/>
      <c r="AA8" s="8">
        <v>2</v>
      </c>
      <c r="AB8" s="8"/>
      <c r="AC8" s="8"/>
      <c r="AD8" s="8"/>
      <c r="AE8" s="8"/>
      <c r="AF8" s="8"/>
      <c r="AG8" s="8"/>
      <c r="AH8" s="8"/>
      <c r="AJ8" s="8">
        <v>2</v>
      </c>
      <c r="AK8" s="8"/>
      <c r="AL8" s="8"/>
      <c r="AM8" s="8"/>
      <c r="AN8" s="8"/>
      <c r="AO8" s="8">
        <v>2</v>
      </c>
      <c r="AP8" s="1" t="s">
        <v>47</v>
      </c>
      <c r="AQ8" t="s">
        <v>23</v>
      </c>
      <c r="AR8" s="33" t="s">
        <v>48</v>
      </c>
    </row>
    <row r="9" spans="1:44" ht="12.75">
      <c r="A9" s="2"/>
      <c r="B9" s="5" t="s">
        <v>49</v>
      </c>
      <c r="C9" s="37">
        <v>100</v>
      </c>
      <c r="D9" s="5">
        <f>164.35*C9/100</f>
        <v>164.35</v>
      </c>
      <c r="E9" s="141" t="s">
        <v>50</v>
      </c>
      <c r="F9" s="141"/>
      <c r="G9" s="5"/>
      <c r="H9" s="5"/>
      <c r="I9" s="6"/>
      <c r="J9" s="19">
        <v>3</v>
      </c>
      <c r="K9" s="34">
        <v>1182.76</v>
      </c>
      <c r="L9" s="19"/>
      <c r="M9" s="35">
        <v>1341.75</v>
      </c>
      <c r="N9">
        <v>0.1</v>
      </c>
      <c r="O9">
        <v>105.555</v>
      </c>
      <c r="P9" s="19">
        <f t="shared" si="1"/>
        <v>0</v>
      </c>
      <c r="Q9" s="19">
        <f t="shared" si="0"/>
        <v>0</v>
      </c>
      <c r="R9" s="19"/>
      <c r="S9" s="8">
        <v>3</v>
      </c>
      <c r="T9" s="8"/>
      <c r="U9" s="8"/>
      <c r="V9" s="8"/>
      <c r="W9" s="8"/>
      <c r="X9" s="8"/>
      <c r="AA9" s="8">
        <v>3</v>
      </c>
      <c r="AB9" s="8"/>
      <c r="AC9" s="8"/>
      <c r="AD9" s="8"/>
      <c r="AE9" s="8"/>
      <c r="AF9" s="8"/>
      <c r="AG9" s="8"/>
      <c r="AH9" s="8"/>
      <c r="AJ9" s="8">
        <v>3</v>
      </c>
      <c r="AK9" s="8"/>
      <c r="AL9" s="8"/>
      <c r="AM9" s="8"/>
      <c r="AN9" s="8"/>
      <c r="AO9" s="8">
        <v>2</v>
      </c>
      <c r="AP9" s="1" t="s">
        <v>51</v>
      </c>
      <c r="AQ9" t="s">
        <v>23</v>
      </c>
      <c r="AR9" s="38">
        <v>0.33</v>
      </c>
    </row>
    <row r="10" spans="1:44" ht="12.75">
      <c r="A10" s="2"/>
      <c r="B10" s="5"/>
      <c r="C10" s="5"/>
      <c r="D10" s="5"/>
      <c r="E10" s="5"/>
      <c r="F10" s="5"/>
      <c r="G10" s="5"/>
      <c r="H10" s="5"/>
      <c r="I10" s="6"/>
      <c r="J10" s="19">
        <v>4</v>
      </c>
      <c r="K10" s="34">
        <v>1341.76</v>
      </c>
      <c r="L10" s="19"/>
      <c r="M10" s="35">
        <v>1500.75</v>
      </c>
      <c r="N10">
        <v>0.12</v>
      </c>
      <c r="O10">
        <v>132.39</v>
      </c>
      <c r="P10" s="19">
        <f t="shared" si="1"/>
        <v>0</v>
      </c>
      <c r="Q10" s="19">
        <f t="shared" si="0"/>
        <v>0</v>
      </c>
      <c r="R10" s="19"/>
      <c r="S10" s="8">
        <v>4</v>
      </c>
      <c r="T10" s="8"/>
      <c r="U10" s="8"/>
      <c r="V10" s="8"/>
      <c r="W10" s="8"/>
      <c r="X10" s="8"/>
      <c r="AA10" s="8">
        <v>4</v>
      </c>
      <c r="AB10" s="8"/>
      <c r="AC10" s="8"/>
      <c r="AD10" s="8"/>
      <c r="AE10" s="8"/>
      <c r="AF10" s="8"/>
      <c r="AG10" s="8"/>
      <c r="AH10" s="8"/>
      <c r="AJ10" s="8">
        <v>4</v>
      </c>
      <c r="AK10" s="8"/>
      <c r="AL10" s="8"/>
      <c r="AM10" s="8"/>
      <c r="AN10" s="8"/>
      <c r="AO10" s="8">
        <v>2</v>
      </c>
      <c r="AP10" s="1" t="s">
        <v>52</v>
      </c>
      <c r="AQ10" t="s">
        <v>23</v>
      </c>
      <c r="AR10" s="38">
        <v>0.21</v>
      </c>
    </row>
    <row r="11" spans="1:44" ht="12.75">
      <c r="A11" s="39"/>
      <c r="B11" s="40" t="s">
        <v>53</v>
      </c>
      <c r="C11" s="40"/>
      <c r="D11" s="41"/>
      <c r="E11" s="42" t="s">
        <v>54</v>
      </c>
      <c r="F11" s="43" t="s">
        <v>55</v>
      </c>
      <c r="G11" s="42" t="s">
        <v>56</v>
      </c>
      <c r="H11" s="44"/>
      <c r="I11" s="6"/>
      <c r="J11" s="19">
        <v>5</v>
      </c>
      <c r="K11" s="34">
        <v>1500.76</v>
      </c>
      <c r="L11" s="19"/>
      <c r="M11" s="35">
        <v>1659.75</v>
      </c>
      <c r="N11">
        <v>0.14</v>
      </c>
      <c r="O11">
        <v>162.405</v>
      </c>
      <c r="P11" s="19">
        <f t="shared" si="1"/>
        <v>0</v>
      </c>
      <c r="Q11" s="19">
        <f t="shared" si="0"/>
        <v>0</v>
      </c>
      <c r="R11" s="19"/>
      <c r="S11" s="8">
        <v>5</v>
      </c>
      <c r="T11" s="8"/>
      <c r="U11" s="8"/>
      <c r="V11" s="8"/>
      <c r="W11" s="8"/>
      <c r="X11" s="8"/>
      <c r="AA11" s="8">
        <v>5</v>
      </c>
      <c r="AB11" s="8"/>
      <c r="AC11" s="8"/>
      <c r="AD11" s="8"/>
      <c r="AE11" s="8"/>
      <c r="AF11" s="8"/>
      <c r="AG11" s="8"/>
      <c r="AH11" s="8"/>
      <c r="AJ11" s="8">
        <v>5</v>
      </c>
      <c r="AK11" s="8"/>
      <c r="AL11" s="8"/>
      <c r="AM11" s="8"/>
      <c r="AN11" s="8"/>
      <c r="AO11" s="8">
        <v>3</v>
      </c>
      <c r="AP11" s="1" t="s">
        <v>57</v>
      </c>
      <c r="AQ11" t="s">
        <v>24</v>
      </c>
      <c r="AR11" s="38">
        <v>0.15</v>
      </c>
    </row>
    <row r="12" spans="1:51" ht="12.75">
      <c r="A12" s="45"/>
      <c r="B12" s="46" t="s">
        <v>58</v>
      </c>
      <c r="C12" s="47"/>
      <c r="D12" s="48"/>
      <c r="E12" s="47">
        <f>D9-(SUM(E32:E38))</f>
        <v>164.35</v>
      </c>
      <c r="F12" s="26">
        <f>ROUNDUP($F$2*$F$3/164.35,4)</f>
        <v>12.2004</v>
      </c>
      <c r="G12" s="26">
        <f>ROUND(E12*F12+D12+(C12*$F$3),2)</f>
        <v>2005.14</v>
      </c>
      <c r="H12" s="26"/>
      <c r="I12" s="6"/>
      <c r="J12" s="19">
        <v>6</v>
      </c>
      <c r="K12" s="34">
        <v>1659.76</v>
      </c>
      <c r="L12" s="19"/>
      <c r="M12" s="35">
        <v>1818.75</v>
      </c>
      <c r="N12">
        <v>0.16</v>
      </c>
      <c r="O12">
        <v>195.6</v>
      </c>
      <c r="P12" s="19">
        <f t="shared" si="1"/>
        <v>0.16</v>
      </c>
      <c r="Q12" s="19">
        <f t="shared" si="0"/>
        <v>195.6</v>
      </c>
      <c r="R12" s="19"/>
      <c r="S12" s="8">
        <v>6</v>
      </c>
      <c r="T12" s="8"/>
      <c r="U12" s="8"/>
      <c r="V12" s="8"/>
      <c r="W12" s="8"/>
      <c r="X12" s="8"/>
      <c r="AA12" s="8">
        <v>6</v>
      </c>
      <c r="AB12" s="8"/>
      <c r="AC12" s="8"/>
      <c r="AD12" s="8"/>
      <c r="AE12" s="8"/>
      <c r="AF12" s="8"/>
      <c r="AG12" s="8"/>
      <c r="AH12" s="8"/>
      <c r="AJ12" s="8">
        <v>6</v>
      </c>
      <c r="AK12" s="8"/>
      <c r="AL12" s="8"/>
      <c r="AM12" s="8"/>
      <c r="AN12" s="8"/>
      <c r="AO12" s="8">
        <v>3</v>
      </c>
      <c r="AP12" s="1" t="s">
        <v>59</v>
      </c>
      <c r="AQ12" t="s">
        <v>24</v>
      </c>
      <c r="AR12" s="49">
        <v>0</v>
      </c>
      <c r="AY12" t="s">
        <v>60</v>
      </c>
    </row>
    <row r="13" spans="1:44" ht="12.75">
      <c r="A13" s="45" t="s">
        <v>61</v>
      </c>
      <c r="B13" s="46" t="s">
        <v>62</v>
      </c>
      <c r="C13" s="50"/>
      <c r="D13" s="51"/>
      <c r="E13" s="4">
        <v>0</v>
      </c>
      <c r="F13" s="26">
        <f>ROUND(F14*1.25,3)</f>
        <v>3.994</v>
      </c>
      <c r="G13" s="26">
        <f>ROUND(E13*F13,2)</f>
        <v>0</v>
      </c>
      <c r="H13" s="26"/>
      <c r="I13" s="6"/>
      <c r="J13" s="19">
        <v>7</v>
      </c>
      <c r="K13" s="34">
        <v>1818.76</v>
      </c>
      <c r="L13" s="19"/>
      <c r="M13" s="35">
        <v>1977.75</v>
      </c>
      <c r="N13">
        <v>0.18</v>
      </c>
      <c r="O13">
        <v>231.975</v>
      </c>
      <c r="P13" s="19">
        <f t="shared" si="1"/>
        <v>0</v>
      </c>
      <c r="Q13" s="19">
        <f t="shared" si="0"/>
        <v>0</v>
      </c>
      <c r="R13" s="19"/>
      <c r="S13" s="8">
        <v>7</v>
      </c>
      <c r="T13" s="8"/>
      <c r="U13" s="8"/>
      <c r="V13" s="8"/>
      <c r="W13" s="8"/>
      <c r="X13" s="8"/>
      <c r="AA13" s="8">
        <v>7</v>
      </c>
      <c r="AB13" s="8"/>
      <c r="AC13" s="8"/>
      <c r="AD13" s="8"/>
      <c r="AE13" s="8"/>
      <c r="AF13" s="8"/>
      <c r="AG13" s="8"/>
      <c r="AH13" s="8"/>
      <c r="AJ13" s="8">
        <v>7</v>
      </c>
      <c r="AK13" s="8"/>
      <c r="AL13" s="8"/>
      <c r="AM13" s="8"/>
      <c r="AN13" s="8"/>
      <c r="AO13" s="8">
        <v>4</v>
      </c>
      <c r="AP13" s="1" t="s">
        <v>63</v>
      </c>
      <c r="AQ13" t="s">
        <v>25</v>
      </c>
      <c r="AR13" s="52"/>
    </row>
    <row r="14" spans="1:44" ht="12.75">
      <c r="A14" s="45" t="s">
        <v>64</v>
      </c>
      <c r="B14" s="46" t="s">
        <v>65</v>
      </c>
      <c r="C14" s="50"/>
      <c r="D14" s="51"/>
      <c r="E14" s="4">
        <v>0</v>
      </c>
      <c r="F14" s="26">
        <f>ROUND(($F$3/14.3489)*2.538,3)</f>
        <v>3.195</v>
      </c>
      <c r="G14" s="26">
        <f>ROUND(E14*F14,2)</f>
        <v>0</v>
      </c>
      <c r="H14" s="26"/>
      <c r="I14" s="6"/>
      <c r="J14" s="19">
        <v>8</v>
      </c>
      <c r="K14" s="34">
        <v>1977.76</v>
      </c>
      <c r="L14" s="19"/>
      <c r="M14" s="35">
        <v>2136.75</v>
      </c>
      <c r="N14">
        <v>0.2</v>
      </c>
      <c r="O14">
        <v>271.53</v>
      </c>
      <c r="P14" s="19">
        <f t="shared" si="1"/>
        <v>0</v>
      </c>
      <c r="Q14" s="19">
        <f t="shared" si="0"/>
        <v>0</v>
      </c>
      <c r="R14" s="19"/>
      <c r="S14" s="8">
        <v>8</v>
      </c>
      <c r="T14" s="8"/>
      <c r="U14" s="8"/>
      <c r="V14" s="8"/>
      <c r="W14" s="8"/>
      <c r="X14" s="8"/>
      <c r="AA14" s="8">
        <v>8</v>
      </c>
      <c r="AB14" s="8"/>
      <c r="AC14" s="8"/>
      <c r="AD14" s="8"/>
      <c r="AE14" s="8"/>
      <c r="AF14" s="8"/>
      <c r="AG14" s="8"/>
      <c r="AH14" s="8"/>
      <c r="AJ14" s="8">
        <v>8</v>
      </c>
      <c r="AK14" s="8"/>
      <c r="AL14" s="8"/>
      <c r="AM14" s="8"/>
      <c r="AN14" s="8"/>
      <c r="AO14" s="8">
        <v>4</v>
      </c>
      <c r="AP14" s="1" t="s">
        <v>66</v>
      </c>
      <c r="AQ14" t="s">
        <v>25</v>
      </c>
      <c r="AR14" s="53"/>
    </row>
    <row r="15" spans="1:44" ht="12.75">
      <c r="A15" s="45" t="s">
        <v>67</v>
      </c>
      <c r="B15" s="46" t="s">
        <v>68</v>
      </c>
      <c r="C15" s="50"/>
      <c r="D15" s="51"/>
      <c r="E15" s="4">
        <v>0</v>
      </c>
      <c r="F15" s="26">
        <f>ROUND(F14*0.5,3)</f>
        <v>1.598</v>
      </c>
      <c r="G15" s="26">
        <f>ROUND(E15*F15,2)</f>
        <v>0</v>
      </c>
      <c r="H15" s="26"/>
      <c r="I15" s="6"/>
      <c r="J15" s="19">
        <v>9</v>
      </c>
      <c r="K15" s="34">
        <v>2136.76</v>
      </c>
      <c r="L15" s="19"/>
      <c r="M15" s="35">
        <v>2295.75</v>
      </c>
      <c r="N15">
        <v>0.22</v>
      </c>
      <c r="O15">
        <v>314.265</v>
      </c>
      <c r="P15" s="19">
        <f t="shared" si="1"/>
        <v>0</v>
      </c>
      <c r="Q15" s="19">
        <f t="shared" si="0"/>
        <v>0</v>
      </c>
      <c r="R15" s="19"/>
      <c r="S15" s="8">
        <v>9</v>
      </c>
      <c r="T15" s="8"/>
      <c r="U15" s="8"/>
      <c r="V15" s="8"/>
      <c r="W15" s="8"/>
      <c r="X15" s="8"/>
      <c r="AA15" s="8">
        <v>9</v>
      </c>
      <c r="AB15" s="8"/>
      <c r="AC15" s="8"/>
      <c r="AD15" s="8"/>
      <c r="AE15" s="8"/>
      <c r="AF15" s="8"/>
      <c r="AG15" s="8"/>
      <c r="AH15" s="8"/>
      <c r="AJ15" s="8">
        <v>9</v>
      </c>
      <c r="AK15" s="8"/>
      <c r="AL15" s="8"/>
      <c r="AM15" s="8"/>
      <c r="AN15" s="8"/>
      <c r="AO15" s="8">
        <v>4</v>
      </c>
      <c r="AP15" s="1" t="s">
        <v>69</v>
      </c>
      <c r="AQ15" t="s">
        <v>25</v>
      </c>
      <c r="AR15" s="54"/>
    </row>
    <row r="16" spans="1:44" ht="12.75">
      <c r="A16" s="45" t="s">
        <v>70</v>
      </c>
      <c r="B16" s="46" t="s">
        <v>71</v>
      </c>
      <c r="C16" s="50"/>
      <c r="D16" s="51"/>
      <c r="E16" s="4">
        <v>0</v>
      </c>
      <c r="F16" s="26">
        <f>ROUND(F14*0.25,3)</f>
        <v>0.799</v>
      </c>
      <c r="G16" s="26">
        <f aca="true" t="shared" si="2" ref="G16:G25">ROUND(E16*F16+D16+(C16*$F$3),2)</f>
        <v>0</v>
      </c>
      <c r="H16" s="26"/>
      <c r="I16" s="6"/>
      <c r="J16" s="19">
        <v>10</v>
      </c>
      <c r="K16" s="34">
        <v>2295.76</v>
      </c>
      <c r="L16" s="19"/>
      <c r="M16" s="35">
        <v>2454.75</v>
      </c>
      <c r="N16">
        <v>0.24</v>
      </c>
      <c r="O16">
        <v>360.18</v>
      </c>
      <c r="P16" s="19">
        <f t="shared" si="1"/>
        <v>0</v>
      </c>
      <c r="Q16" s="19">
        <f t="shared" si="0"/>
        <v>0</v>
      </c>
      <c r="R16" s="19"/>
      <c r="S16" s="8">
        <v>10</v>
      </c>
      <c r="T16" s="8"/>
      <c r="U16" s="8"/>
      <c r="V16" s="8"/>
      <c r="W16" s="8"/>
      <c r="X16" s="8"/>
      <c r="AA16" s="8">
        <v>10</v>
      </c>
      <c r="AB16" s="8"/>
      <c r="AC16" s="8"/>
      <c r="AD16" s="8"/>
      <c r="AE16" s="8"/>
      <c r="AF16" s="8"/>
      <c r="AG16" s="8"/>
      <c r="AH16" s="8"/>
      <c r="AJ16" s="8">
        <v>10</v>
      </c>
      <c r="AK16" s="8"/>
      <c r="AL16" s="8"/>
      <c r="AM16" s="8"/>
      <c r="AN16" s="8"/>
      <c r="AO16" s="8">
        <v>4</v>
      </c>
      <c r="AP16" s="1" t="s">
        <v>72</v>
      </c>
      <c r="AQ16" t="s">
        <v>25</v>
      </c>
      <c r="AR16" s="53">
        <v>0</v>
      </c>
    </row>
    <row r="17" spans="1:44" ht="12.75">
      <c r="A17" s="45" t="s">
        <v>73</v>
      </c>
      <c r="B17" s="46" t="s">
        <v>74</v>
      </c>
      <c r="C17" s="55"/>
      <c r="D17" s="56"/>
      <c r="E17" s="57">
        <v>0</v>
      </c>
      <c r="F17" s="46">
        <f>$F$13*0.2</f>
        <v>0.7988000000000001</v>
      </c>
      <c r="G17" s="26">
        <f t="shared" si="2"/>
        <v>0</v>
      </c>
      <c r="H17" s="26"/>
      <c r="I17" s="6"/>
      <c r="J17" s="19">
        <v>11</v>
      </c>
      <c r="K17" s="34">
        <v>2454.76</v>
      </c>
      <c r="L17" s="19"/>
      <c r="M17" s="35">
        <v>2613.75</v>
      </c>
      <c r="N17">
        <v>0.26</v>
      </c>
      <c r="O17">
        <v>409.275</v>
      </c>
      <c r="P17" s="19">
        <f t="shared" si="1"/>
        <v>0</v>
      </c>
      <c r="Q17" s="19">
        <f t="shared" si="0"/>
        <v>0</v>
      </c>
      <c r="R17" s="19"/>
      <c r="S17" s="8">
        <v>11</v>
      </c>
      <c r="T17" s="8"/>
      <c r="U17" s="8"/>
      <c r="V17" s="8"/>
      <c r="W17" s="8"/>
      <c r="X17" s="8"/>
      <c r="AA17" s="8">
        <v>11</v>
      </c>
      <c r="AB17" s="8"/>
      <c r="AC17" s="8"/>
      <c r="AD17" s="8"/>
      <c r="AE17" s="8"/>
      <c r="AF17" s="8"/>
      <c r="AG17" s="8"/>
      <c r="AH17" s="8"/>
      <c r="AJ17" s="8">
        <v>11</v>
      </c>
      <c r="AK17" s="8"/>
      <c r="AL17" s="8"/>
      <c r="AM17" s="8"/>
      <c r="AN17" s="8"/>
      <c r="AO17" s="8">
        <v>5</v>
      </c>
      <c r="AP17" s="1" t="s">
        <v>75</v>
      </c>
      <c r="AQ17" t="s">
        <v>26</v>
      </c>
      <c r="AR17" s="53">
        <v>0.18</v>
      </c>
    </row>
    <row r="18" spans="1:44" ht="12.75">
      <c r="A18" s="45" t="s">
        <v>76</v>
      </c>
      <c r="B18" s="46" t="s">
        <v>77</v>
      </c>
      <c r="C18" s="55"/>
      <c r="D18" s="56"/>
      <c r="E18" s="57">
        <v>0</v>
      </c>
      <c r="F18" s="46">
        <f>$F$13*0.7</f>
        <v>2.7958</v>
      </c>
      <c r="G18" s="26">
        <f t="shared" si="2"/>
        <v>0</v>
      </c>
      <c r="H18" s="26"/>
      <c r="I18" s="6"/>
      <c r="J18" s="19">
        <v>12</v>
      </c>
      <c r="K18" s="34">
        <v>2613.76</v>
      </c>
      <c r="L18" s="19"/>
      <c r="M18" s="35">
        <v>2772.75</v>
      </c>
      <c r="N18">
        <v>0.28</v>
      </c>
      <c r="O18">
        <v>461.55</v>
      </c>
      <c r="P18" s="19">
        <f t="shared" si="1"/>
        <v>0</v>
      </c>
      <c r="Q18" s="19">
        <f t="shared" si="0"/>
        <v>0</v>
      </c>
      <c r="R18" s="19"/>
      <c r="S18" s="8">
        <v>12</v>
      </c>
      <c r="T18" s="8"/>
      <c r="U18" s="8"/>
      <c r="V18" s="8"/>
      <c r="W18" s="8"/>
      <c r="X18" s="8"/>
      <c r="AA18" s="8">
        <v>12</v>
      </c>
      <c r="AB18" s="8"/>
      <c r="AC18" s="8"/>
      <c r="AD18" s="8"/>
      <c r="AE18" s="8"/>
      <c r="AF18" s="8"/>
      <c r="AG18" s="8"/>
      <c r="AH18" s="8"/>
      <c r="AJ18" s="8">
        <v>12</v>
      </c>
      <c r="AK18" s="8"/>
      <c r="AL18" s="8"/>
      <c r="AM18" s="8"/>
      <c r="AN18" s="8"/>
      <c r="AO18" s="8">
        <v>5</v>
      </c>
      <c r="AP18" s="1" t="s">
        <v>78</v>
      </c>
      <c r="AQ18" t="s">
        <v>26</v>
      </c>
      <c r="AR18" s="53">
        <v>0.22</v>
      </c>
    </row>
    <row r="19" spans="1:44" ht="12.75">
      <c r="A19" s="45" t="s">
        <v>79</v>
      </c>
      <c r="B19" s="46" t="s">
        <v>80</v>
      </c>
      <c r="C19" s="55"/>
      <c r="D19" s="56"/>
      <c r="E19" s="57">
        <v>0</v>
      </c>
      <c r="F19" s="46">
        <f>$F$13</f>
        <v>3.994</v>
      </c>
      <c r="G19" s="26">
        <f t="shared" si="2"/>
        <v>0</v>
      </c>
      <c r="H19" s="26"/>
      <c r="I19" s="6"/>
      <c r="J19" s="19">
        <v>13</v>
      </c>
      <c r="K19" s="34">
        <v>2772.76</v>
      </c>
      <c r="L19" s="19"/>
      <c r="M19" s="35">
        <v>2931.75</v>
      </c>
      <c r="N19">
        <v>0.3</v>
      </c>
      <c r="O19">
        <v>517.005</v>
      </c>
      <c r="P19" s="19">
        <f>IF(Rp&gt;M19,0,IF(Rp&gt;K19,N19,0))</f>
        <v>0</v>
      </c>
      <c r="Q19" s="19">
        <f t="shared" si="0"/>
        <v>0</v>
      </c>
      <c r="R19" s="19"/>
      <c r="S19" s="8">
        <v>13</v>
      </c>
      <c r="T19" s="8"/>
      <c r="U19" s="8"/>
      <c r="V19" s="8"/>
      <c r="W19" s="8"/>
      <c r="X19" s="8"/>
      <c r="AA19" s="8">
        <v>13</v>
      </c>
      <c r="AB19" s="8"/>
      <c r="AC19" s="8"/>
      <c r="AD19" s="8"/>
      <c r="AE19" s="8"/>
      <c r="AF19" s="8"/>
      <c r="AG19" s="8"/>
      <c r="AH19" s="8"/>
      <c r="AJ19" s="8">
        <v>13</v>
      </c>
      <c r="AK19" s="8"/>
      <c r="AL19" s="8"/>
      <c r="AM19" s="8"/>
      <c r="AN19" s="8"/>
      <c r="AO19" s="8">
        <v>5</v>
      </c>
      <c r="AP19" s="1" t="s">
        <v>81</v>
      </c>
      <c r="AQ19" t="s">
        <v>26</v>
      </c>
      <c r="AR19" s="53">
        <v>0.34</v>
      </c>
    </row>
    <row r="20" spans="1:44" ht="12.75">
      <c r="A20" s="45" t="s">
        <v>82</v>
      </c>
      <c r="B20" s="46" t="s">
        <v>83</v>
      </c>
      <c r="C20" s="50"/>
      <c r="D20" s="51"/>
      <c r="E20" s="4">
        <v>0</v>
      </c>
      <c r="F20" s="26">
        <f>F14*0.2</f>
        <v>0.639</v>
      </c>
      <c r="G20" s="26">
        <f t="shared" si="2"/>
        <v>0</v>
      </c>
      <c r="H20" s="26"/>
      <c r="I20" s="6"/>
      <c r="J20" s="19">
        <v>14</v>
      </c>
      <c r="K20" s="34">
        <v>2931.76</v>
      </c>
      <c r="L20" s="19"/>
      <c r="M20" s="35">
        <v>3090.75</v>
      </c>
      <c r="N20">
        <v>0.32</v>
      </c>
      <c r="O20">
        <v>575.64</v>
      </c>
      <c r="P20" s="19">
        <f t="shared" si="1"/>
        <v>0</v>
      </c>
      <c r="Q20" s="19">
        <f t="shared" si="0"/>
        <v>0</v>
      </c>
      <c r="R20" s="19"/>
      <c r="S20" s="8">
        <v>14</v>
      </c>
      <c r="T20" s="8"/>
      <c r="U20" s="8"/>
      <c r="V20" s="8"/>
      <c r="W20" s="8"/>
      <c r="X20" s="8"/>
      <c r="AA20" s="8">
        <v>14</v>
      </c>
      <c r="AB20" s="8"/>
      <c r="AC20" s="8"/>
      <c r="AD20" s="8"/>
      <c r="AE20" s="8"/>
      <c r="AF20" s="8"/>
      <c r="AG20" s="8"/>
      <c r="AH20" s="8"/>
      <c r="AJ20" s="8">
        <v>14</v>
      </c>
      <c r="AK20" s="8"/>
      <c r="AL20" s="8"/>
      <c r="AM20" s="8"/>
      <c r="AN20" s="8"/>
      <c r="AO20" s="8">
        <v>5</v>
      </c>
      <c r="AP20" s="1" t="s">
        <v>84</v>
      </c>
      <c r="AQ20" t="s">
        <v>26</v>
      </c>
      <c r="AR20" s="53">
        <v>0.36</v>
      </c>
    </row>
    <row r="21" spans="1:44" ht="12.75">
      <c r="A21" s="45" t="s">
        <v>85</v>
      </c>
      <c r="B21" s="46" t="s">
        <v>86</v>
      </c>
      <c r="C21" s="50"/>
      <c r="D21" s="51"/>
      <c r="E21" s="4">
        <v>0</v>
      </c>
      <c r="F21" s="26">
        <f>F14*0.7</f>
        <v>2.2365</v>
      </c>
      <c r="G21" s="26">
        <f t="shared" si="2"/>
        <v>0</v>
      </c>
      <c r="H21" s="26"/>
      <c r="I21" s="6"/>
      <c r="J21" s="19">
        <v>15</v>
      </c>
      <c r="K21" s="34">
        <v>3090.76</v>
      </c>
      <c r="L21" s="58"/>
      <c r="M21" s="35">
        <v>3249.75</v>
      </c>
      <c r="N21">
        <v>0.34</v>
      </c>
      <c r="O21">
        <v>637.455</v>
      </c>
      <c r="P21" s="19">
        <f t="shared" si="1"/>
        <v>0</v>
      </c>
      <c r="Q21" s="19">
        <f t="shared" si="0"/>
        <v>0</v>
      </c>
      <c r="R21" s="19"/>
      <c r="S21" s="8">
        <v>15</v>
      </c>
      <c r="T21" s="8"/>
      <c r="U21" s="8"/>
      <c r="V21" s="8"/>
      <c r="W21" s="8"/>
      <c r="X21" s="8"/>
      <c r="AA21" s="8">
        <v>15</v>
      </c>
      <c r="AB21" s="8"/>
      <c r="AC21" s="8"/>
      <c r="AD21" s="8"/>
      <c r="AE21" s="8"/>
      <c r="AF21" s="8"/>
      <c r="AG21" s="8"/>
      <c r="AH21" s="8"/>
      <c r="AJ21" s="8">
        <v>15</v>
      </c>
      <c r="AK21" s="8"/>
      <c r="AL21" s="8"/>
      <c r="AM21" s="8"/>
      <c r="AN21" s="8"/>
      <c r="AO21" s="8">
        <v>5</v>
      </c>
      <c r="AP21" s="1" t="s">
        <v>87</v>
      </c>
      <c r="AQ21" t="s">
        <v>26</v>
      </c>
      <c r="AR21" s="59">
        <v>0.38</v>
      </c>
    </row>
    <row r="22" spans="1:43" ht="12.75">
      <c r="A22" s="45" t="s">
        <v>88</v>
      </c>
      <c r="B22" s="46" t="s">
        <v>89</v>
      </c>
      <c r="C22" s="50"/>
      <c r="D22" s="51"/>
      <c r="E22" s="4">
        <v>0</v>
      </c>
      <c r="F22" s="26">
        <f>F14*1</f>
        <v>3.195</v>
      </c>
      <c r="G22" s="26">
        <f t="shared" si="2"/>
        <v>0</v>
      </c>
      <c r="H22" s="26"/>
      <c r="I22" s="6"/>
      <c r="J22" s="19">
        <v>16</v>
      </c>
      <c r="K22" s="34">
        <v>3249.76</v>
      </c>
      <c r="L22" s="58"/>
      <c r="M22" s="35">
        <v>3408.75</v>
      </c>
      <c r="N22">
        <v>0.36</v>
      </c>
      <c r="O22">
        <v>702.45</v>
      </c>
      <c r="P22" s="19">
        <f>IF(Rp&gt;M22,0,IF(Rp&gt;K22,N22,0))</f>
        <v>0</v>
      </c>
      <c r="Q22" s="19">
        <f t="shared" si="0"/>
        <v>0</v>
      </c>
      <c r="R22" s="19"/>
      <c r="S22" s="8">
        <v>16</v>
      </c>
      <c r="T22" s="8"/>
      <c r="U22" s="8"/>
      <c r="V22" s="8"/>
      <c r="W22" s="8"/>
      <c r="X22" s="8"/>
      <c r="AA22" s="8">
        <v>16</v>
      </c>
      <c r="AB22" s="8"/>
      <c r="AC22" s="8"/>
      <c r="AD22" s="8"/>
      <c r="AE22" s="8"/>
      <c r="AF22" s="8"/>
      <c r="AG22" s="8"/>
      <c r="AH22" s="8"/>
      <c r="AJ22" s="8">
        <v>16</v>
      </c>
      <c r="AK22" s="8"/>
      <c r="AL22" s="8"/>
      <c r="AM22" s="8"/>
      <c r="AN22" s="8"/>
      <c r="AO22" s="8">
        <v>5</v>
      </c>
      <c r="AP22" s="1" t="s">
        <v>90</v>
      </c>
      <c r="AQ22" t="s">
        <v>26</v>
      </c>
    </row>
    <row r="23" spans="1:46" ht="12.75">
      <c r="A23" s="45" t="s">
        <v>91</v>
      </c>
      <c r="B23" s="46" t="s">
        <v>92</v>
      </c>
      <c r="C23" s="55"/>
      <c r="D23" s="56"/>
      <c r="E23" s="57">
        <v>0</v>
      </c>
      <c r="F23" s="46">
        <f>$F$15*0.2</f>
        <v>0.31960000000000005</v>
      </c>
      <c r="G23" s="26">
        <f t="shared" si="2"/>
        <v>0</v>
      </c>
      <c r="H23" s="26"/>
      <c r="I23" s="6"/>
      <c r="J23" s="19">
        <v>17</v>
      </c>
      <c r="K23" s="34">
        <v>3408.76</v>
      </c>
      <c r="L23" s="19"/>
      <c r="M23" s="35">
        <v>3567.75</v>
      </c>
      <c r="N23">
        <v>0.38</v>
      </c>
      <c r="O23">
        <v>770.625</v>
      </c>
      <c r="P23" s="19">
        <f>IF(Rp&gt;M23,0,IF(Rp&gt;K23,N23,0))</f>
        <v>0</v>
      </c>
      <c r="Q23" s="19">
        <f t="shared" si="0"/>
        <v>0</v>
      </c>
      <c r="R23" s="19"/>
      <c r="S23" s="8">
        <v>17</v>
      </c>
      <c r="T23" s="8"/>
      <c r="U23" s="8"/>
      <c r="V23" s="8"/>
      <c r="W23" s="8"/>
      <c r="X23" s="8"/>
      <c r="AA23" s="8">
        <v>17</v>
      </c>
      <c r="AB23" s="8"/>
      <c r="AC23" s="8"/>
      <c r="AD23" s="8"/>
      <c r="AE23" s="8"/>
      <c r="AF23" s="8"/>
      <c r="AG23" s="8"/>
      <c r="AH23" s="8"/>
      <c r="AJ23" s="8">
        <v>17</v>
      </c>
      <c r="AK23" s="8"/>
      <c r="AL23" s="8"/>
      <c r="AM23" s="8"/>
      <c r="AN23" s="8"/>
      <c r="AO23" s="8">
        <v>5</v>
      </c>
      <c r="AP23" s="1" t="s">
        <v>93</v>
      </c>
      <c r="AQ23" t="s">
        <v>26</v>
      </c>
      <c r="AR23" s="5" t="s">
        <v>94</v>
      </c>
      <c r="AS23" s="5"/>
      <c r="AT23" s="60">
        <v>0</v>
      </c>
    </row>
    <row r="24" spans="1:46" ht="12.75">
      <c r="A24" s="45" t="s">
        <v>95</v>
      </c>
      <c r="B24" s="46" t="s">
        <v>96</v>
      </c>
      <c r="C24" s="55"/>
      <c r="D24" s="56"/>
      <c r="E24" s="57">
        <v>0</v>
      </c>
      <c r="F24" s="46">
        <f>$F$15*0.7</f>
        <v>1.1186</v>
      </c>
      <c r="G24" s="26">
        <f t="shared" si="2"/>
        <v>0</v>
      </c>
      <c r="H24" s="26"/>
      <c r="I24" s="6"/>
      <c r="J24" s="19">
        <v>18</v>
      </c>
      <c r="K24" s="34">
        <v>3567.76</v>
      </c>
      <c r="L24" s="19"/>
      <c r="M24" s="35">
        <v>8418.33</v>
      </c>
      <c r="N24">
        <v>0.39</v>
      </c>
      <c r="O24">
        <v>806.3025</v>
      </c>
      <c r="P24" s="19">
        <f>IF(Rp&gt;M24,0,IF(Rp&gt;K24,N24,0))</f>
        <v>0</v>
      </c>
      <c r="Q24" s="19">
        <f t="shared" si="0"/>
        <v>0</v>
      </c>
      <c r="R24" s="19"/>
      <c r="S24" s="8">
        <v>18</v>
      </c>
      <c r="T24" s="8"/>
      <c r="U24" s="8"/>
      <c r="V24" s="8"/>
      <c r="W24" s="8"/>
      <c r="X24" s="8"/>
      <c r="AA24" s="8">
        <v>18</v>
      </c>
      <c r="AB24" s="8"/>
      <c r="AC24" s="8"/>
      <c r="AD24" s="8"/>
      <c r="AE24" s="8"/>
      <c r="AF24" s="8"/>
      <c r="AG24" s="8"/>
      <c r="AH24" s="8"/>
      <c r="AJ24" s="8">
        <v>18</v>
      </c>
      <c r="AK24" s="8"/>
      <c r="AL24" s="8"/>
      <c r="AM24" s="8"/>
      <c r="AN24" s="8"/>
      <c r="AO24" s="8">
        <v>5</v>
      </c>
      <c r="AP24" s="1" t="s">
        <v>97</v>
      </c>
      <c r="AQ24" t="s">
        <v>26</v>
      </c>
      <c r="AR24" s="5" t="s">
        <v>98</v>
      </c>
      <c r="AS24" s="5"/>
      <c r="AT24" s="60">
        <v>99</v>
      </c>
    </row>
    <row r="25" spans="1:46" ht="12.75">
      <c r="A25" s="45" t="s">
        <v>99</v>
      </c>
      <c r="B25" s="46" t="s">
        <v>100</v>
      </c>
      <c r="C25" s="55"/>
      <c r="D25" s="56"/>
      <c r="E25" s="57">
        <v>0</v>
      </c>
      <c r="F25" s="46">
        <f>$F$15</f>
        <v>1.598</v>
      </c>
      <c r="G25" s="26">
        <f t="shared" si="2"/>
        <v>0</v>
      </c>
      <c r="H25" s="26"/>
      <c r="I25" s="6"/>
      <c r="J25" s="19">
        <v>19</v>
      </c>
      <c r="K25" s="34">
        <v>8418.34</v>
      </c>
      <c r="L25" s="19"/>
      <c r="M25" s="35">
        <v>9999999.99</v>
      </c>
      <c r="N25">
        <v>0.4</v>
      </c>
      <c r="O25">
        <v>890.48583</v>
      </c>
      <c r="P25" s="19">
        <f>IF(Rp&gt;M25,0,IF(Rp&gt;K25,N25,0))</f>
        <v>0</v>
      </c>
      <c r="Q25" s="19">
        <f t="shared" si="0"/>
        <v>0</v>
      </c>
      <c r="R25" s="19"/>
      <c r="S25" s="8">
        <v>19</v>
      </c>
      <c r="T25" s="8"/>
      <c r="U25" s="8"/>
      <c r="V25" s="8"/>
      <c r="W25" s="8"/>
      <c r="X25" s="8"/>
      <c r="AA25" s="8">
        <v>19</v>
      </c>
      <c r="AB25" s="8"/>
      <c r="AC25" s="8"/>
      <c r="AD25" s="8"/>
      <c r="AE25" s="8"/>
      <c r="AF25" s="8"/>
      <c r="AG25" s="8"/>
      <c r="AH25" s="8"/>
      <c r="AJ25" s="8">
        <v>19</v>
      </c>
      <c r="AK25" s="8"/>
      <c r="AL25" s="8"/>
      <c r="AM25" s="8"/>
      <c r="AN25" s="8"/>
      <c r="AO25" s="8">
        <v>5</v>
      </c>
      <c r="AP25" s="1" t="s">
        <v>101</v>
      </c>
      <c r="AQ25" t="s">
        <v>26</v>
      </c>
      <c r="AR25" s="5" t="s">
        <v>102</v>
      </c>
      <c r="AS25" s="5"/>
      <c r="AT25" s="5">
        <f>(IF(C6&gt;29,(AT23+26*AT24),(IF((C6-4)&gt;=0,C6-4,0)*AT24+AT23)))/12</f>
        <v>24.75</v>
      </c>
    </row>
    <row r="26" spans="1:46" ht="12.75">
      <c r="A26" s="45" t="s">
        <v>103</v>
      </c>
      <c r="B26" s="46" t="s">
        <v>104</v>
      </c>
      <c r="C26" s="50"/>
      <c r="D26" s="51"/>
      <c r="E26" s="4">
        <v>0</v>
      </c>
      <c r="F26" s="26">
        <f>ROUND((SUM($G$13:$G$25)+($D$9*$F$12)+$G$42)/$D$9*0.7,4)</f>
        <v>8.5403</v>
      </c>
      <c r="G26" s="26">
        <f aca="true" t="shared" si="3" ref="G26:G31">ROUND(E26*F26+(C26*$F$3),2)</f>
        <v>0</v>
      </c>
      <c r="H26" s="26"/>
      <c r="I26" s="6"/>
      <c r="J26" s="19"/>
      <c r="K26" s="19"/>
      <c r="L26" s="19"/>
      <c r="M26" s="61"/>
      <c r="N26" s="19"/>
      <c r="O26" s="19"/>
      <c r="P26" s="19"/>
      <c r="Q26" s="19"/>
      <c r="R26" s="19"/>
      <c r="S26" s="8">
        <v>20</v>
      </c>
      <c r="T26" s="8"/>
      <c r="U26" s="8"/>
      <c r="V26" s="8"/>
      <c r="W26" s="8"/>
      <c r="X26" s="8"/>
      <c r="AA26" s="8">
        <v>20</v>
      </c>
      <c r="AB26" s="8"/>
      <c r="AC26" s="8"/>
      <c r="AD26" s="8"/>
      <c r="AE26" s="8"/>
      <c r="AF26" s="8"/>
      <c r="AG26" s="8"/>
      <c r="AH26" s="8"/>
      <c r="AJ26" s="8">
        <v>20</v>
      </c>
      <c r="AK26" s="8"/>
      <c r="AL26" s="8"/>
      <c r="AM26" s="8"/>
      <c r="AN26" s="8"/>
      <c r="AO26" s="8">
        <v>9</v>
      </c>
      <c r="AP26" s="62" t="s">
        <v>105</v>
      </c>
      <c r="AQ26" t="s">
        <v>27</v>
      </c>
      <c r="AR26" s="5"/>
      <c r="AS26" s="5"/>
      <c r="AT26" s="5"/>
    </row>
    <row r="27" spans="1:46" ht="12.75">
      <c r="A27" s="45" t="s">
        <v>106</v>
      </c>
      <c r="B27" s="46" t="s">
        <v>107</v>
      </c>
      <c r="C27" s="50"/>
      <c r="D27" s="51"/>
      <c r="E27" s="4">
        <v>0</v>
      </c>
      <c r="F27" s="26">
        <f>ROUND((SUM($G$13:$G$25)+($D$9*$F$12)+$G$42)/$D$9,4)</f>
        <v>12.2004</v>
      </c>
      <c r="G27" s="26">
        <f t="shared" si="3"/>
        <v>0</v>
      </c>
      <c r="H27" s="26"/>
      <c r="I27" s="6"/>
      <c r="J27" s="19"/>
      <c r="K27" s="34">
        <f>SUM(K7:K25)</f>
        <v>47446.26000000001</v>
      </c>
      <c r="L27" s="19"/>
      <c r="M27" s="35">
        <f>SUM(M7:M25)</f>
        <v>10047446.07</v>
      </c>
      <c r="N27" s="63">
        <f>SUM(N7:N25)</f>
        <v>4.47</v>
      </c>
      <c r="O27" s="64">
        <f>SUM(O7:O25)</f>
        <v>7626.58833</v>
      </c>
      <c r="P27" s="19">
        <f>SUM(P7:P25)</f>
        <v>0.16</v>
      </c>
      <c r="Q27" s="19">
        <f>SUM(Q7:Q25)</f>
        <v>195.6</v>
      </c>
      <c r="R27" s="19"/>
      <c r="S27" s="8">
        <v>21</v>
      </c>
      <c r="T27" s="8"/>
      <c r="U27" s="8"/>
      <c r="V27" s="8"/>
      <c r="W27" s="8"/>
      <c r="X27" s="8"/>
      <c r="AA27" s="8">
        <v>21</v>
      </c>
      <c r="AB27" s="8"/>
      <c r="AC27" s="8"/>
      <c r="AD27" s="8"/>
      <c r="AE27" s="8"/>
      <c r="AF27" s="8"/>
      <c r="AG27" s="8"/>
      <c r="AH27" s="8"/>
      <c r="AJ27" s="8">
        <v>21</v>
      </c>
      <c r="AK27" s="8"/>
      <c r="AL27" s="8"/>
      <c r="AM27" s="8"/>
      <c r="AN27" s="8"/>
      <c r="AO27" s="8">
        <v>10</v>
      </c>
      <c r="AP27" s="62" t="s">
        <v>108</v>
      </c>
      <c r="AQ27" t="s">
        <v>28</v>
      </c>
      <c r="AR27" s="5"/>
      <c r="AS27" s="5"/>
      <c r="AT27" s="5"/>
    </row>
    <row r="28" spans="1:46" ht="12.75">
      <c r="A28" s="45" t="s">
        <v>109</v>
      </c>
      <c r="B28" s="46" t="s">
        <v>110</v>
      </c>
      <c r="C28" s="50"/>
      <c r="D28" s="51"/>
      <c r="E28" s="4">
        <v>0</v>
      </c>
      <c r="F28" s="26">
        <f>ROUND((SUM($G$13:$G$25)+($D$9*$F$12)+$G$42)/$D$9*0.2,4)</f>
        <v>2.4401</v>
      </c>
      <c r="G28" s="26">
        <f t="shared" si="3"/>
        <v>0</v>
      </c>
      <c r="H28" s="26"/>
      <c r="I28" s="6"/>
      <c r="J28" s="19"/>
      <c r="K28" s="19"/>
      <c r="L28" s="19"/>
      <c r="M28" s="61"/>
      <c r="N28" s="19"/>
      <c r="O28" s="19"/>
      <c r="P28" s="19"/>
      <c r="Q28" s="19"/>
      <c r="R28" s="19"/>
      <c r="S28" s="8">
        <v>22</v>
      </c>
      <c r="T28" s="8"/>
      <c r="U28" s="8"/>
      <c r="V28" s="8"/>
      <c r="W28" s="8"/>
      <c r="X28" s="8"/>
      <c r="AA28" s="8">
        <v>22</v>
      </c>
      <c r="AB28" s="8"/>
      <c r="AC28" s="8"/>
      <c r="AD28" s="8"/>
      <c r="AE28" s="8"/>
      <c r="AF28" s="8"/>
      <c r="AG28" s="8"/>
      <c r="AH28" s="8"/>
      <c r="AJ28" s="8">
        <v>22</v>
      </c>
      <c r="AK28" s="8"/>
      <c r="AL28" s="8"/>
      <c r="AM28" s="8"/>
      <c r="AN28" s="8"/>
      <c r="AO28" s="8">
        <v>11</v>
      </c>
      <c r="AP28" s="62" t="s">
        <v>111</v>
      </c>
      <c r="AQ28" t="s">
        <v>29</v>
      </c>
      <c r="AR28" s="5"/>
      <c r="AS28" s="5"/>
      <c r="AT28" s="5"/>
    </row>
    <row r="29" spans="1:43" ht="12.75">
      <c r="A29" s="45" t="s">
        <v>112</v>
      </c>
      <c r="B29" s="46" t="s">
        <v>113</v>
      </c>
      <c r="C29" s="50"/>
      <c r="D29" s="51"/>
      <c r="E29" s="4"/>
      <c r="F29" s="26">
        <f>ROUND((SUM($G$13:$G$25)+($D$9*$F$12)+$G$42)/$D$9*0.7,4)</f>
        <v>8.5403</v>
      </c>
      <c r="G29" s="26">
        <f t="shared" si="3"/>
        <v>0</v>
      </c>
      <c r="H29" s="26"/>
      <c r="I29" s="6"/>
      <c r="J29" s="19"/>
      <c r="K29" s="19"/>
      <c r="L29" s="18"/>
      <c r="M29" s="19"/>
      <c r="N29" s="19"/>
      <c r="O29" s="18"/>
      <c r="P29" s="18"/>
      <c r="Q29" s="19"/>
      <c r="R29" s="19"/>
      <c r="S29" s="8">
        <v>23</v>
      </c>
      <c r="T29" s="8"/>
      <c r="U29" s="8"/>
      <c r="V29" s="8"/>
      <c r="W29" s="8"/>
      <c r="X29" s="8"/>
      <c r="AA29" s="8">
        <v>23</v>
      </c>
      <c r="AB29" s="8"/>
      <c r="AC29" s="8"/>
      <c r="AD29" s="8"/>
      <c r="AE29" s="8"/>
      <c r="AF29" s="8"/>
      <c r="AG29" s="8"/>
      <c r="AH29" s="8"/>
      <c r="AJ29" s="8">
        <v>23</v>
      </c>
      <c r="AK29" s="8"/>
      <c r="AL29" s="8"/>
      <c r="AM29" s="8"/>
      <c r="AN29" s="8"/>
      <c r="AO29" s="8">
        <v>11</v>
      </c>
      <c r="AP29" s="62" t="s">
        <v>114</v>
      </c>
      <c r="AQ29" t="s">
        <v>29</v>
      </c>
    </row>
    <row r="30" spans="1:43" ht="12.75">
      <c r="A30" s="45" t="s">
        <v>115</v>
      </c>
      <c r="B30" s="46" t="s">
        <v>116</v>
      </c>
      <c r="C30" s="50"/>
      <c r="D30" s="51"/>
      <c r="E30" s="4"/>
      <c r="F30" s="26">
        <f>ROUND((SUM($G$13:$G$25)+($D$9*$F$12)+$G$42)/$D$9,4)</f>
        <v>12.2004</v>
      </c>
      <c r="G30" s="26">
        <f t="shared" si="3"/>
        <v>0</v>
      </c>
      <c r="H30" s="26"/>
      <c r="I30" s="6"/>
      <c r="S30" s="8">
        <v>24</v>
      </c>
      <c r="T30" s="8"/>
      <c r="U30" s="8"/>
      <c r="V30" s="8"/>
      <c r="W30" s="8"/>
      <c r="X30" s="8"/>
      <c r="AA30" s="8">
        <v>24</v>
      </c>
      <c r="AB30" s="8"/>
      <c r="AC30" s="8"/>
      <c r="AD30" s="8"/>
      <c r="AE30" s="8"/>
      <c r="AF30" s="8"/>
      <c r="AG30" s="8"/>
      <c r="AH30" s="8"/>
      <c r="AJ30" s="8">
        <v>24</v>
      </c>
      <c r="AK30" s="8"/>
      <c r="AL30" s="8"/>
      <c r="AM30" s="8"/>
      <c r="AN30" s="8"/>
      <c r="AO30" s="8">
        <v>12</v>
      </c>
      <c r="AP30" s="62" t="s">
        <v>117</v>
      </c>
      <c r="AQ30" t="s">
        <v>30</v>
      </c>
    </row>
    <row r="31" spans="1:43" ht="12.75">
      <c r="A31" s="46" t="s">
        <v>118</v>
      </c>
      <c r="B31" s="46" t="s">
        <v>119</v>
      </c>
      <c r="C31" s="50"/>
      <c r="D31" s="51"/>
      <c r="E31" s="4">
        <v>0</v>
      </c>
      <c r="F31" s="26">
        <f>ROUND((SUM($G$13:$G$25)+($D$9*$F$12)+$G$42)/$D$9*0.2,4)</f>
        <v>2.4401</v>
      </c>
      <c r="G31" s="26">
        <f t="shared" si="3"/>
        <v>0</v>
      </c>
      <c r="H31" s="26"/>
      <c r="I31" s="6"/>
      <c r="K31">
        <v>1</v>
      </c>
      <c r="L31" s="7" t="s">
        <v>120</v>
      </c>
      <c r="N31" s="7"/>
      <c r="O31" s="7"/>
      <c r="S31" s="8">
        <v>25</v>
      </c>
      <c r="T31" s="8"/>
      <c r="U31" s="8"/>
      <c r="V31" s="8"/>
      <c r="W31" s="8"/>
      <c r="X31" s="8"/>
      <c r="AA31" s="8">
        <v>25</v>
      </c>
      <c r="AB31" s="8"/>
      <c r="AC31" s="8"/>
      <c r="AD31" s="8"/>
      <c r="AE31" s="8"/>
      <c r="AF31" s="8"/>
      <c r="AG31" s="8"/>
      <c r="AH31" s="8"/>
      <c r="AJ31" s="8">
        <v>25</v>
      </c>
      <c r="AK31" s="8"/>
      <c r="AL31" s="8"/>
      <c r="AM31" s="8"/>
      <c r="AN31" s="8"/>
      <c r="AO31" s="8">
        <v>12</v>
      </c>
      <c r="AP31" s="65" t="s">
        <v>121</v>
      </c>
      <c r="AQ31" t="s">
        <v>30</v>
      </c>
    </row>
    <row r="32" spans="1:43" ht="12.75">
      <c r="A32" s="46" t="s">
        <v>122</v>
      </c>
      <c r="B32" s="26" t="s">
        <v>123</v>
      </c>
      <c r="C32" s="50"/>
      <c r="D32" s="51"/>
      <c r="E32" s="4">
        <v>0</v>
      </c>
      <c r="F32" s="26">
        <f>$F$12</f>
        <v>12.2004</v>
      </c>
      <c r="G32" s="26">
        <f>ROUND(E32*F32+D32+(C32*$F$3),2)</f>
        <v>0</v>
      </c>
      <c r="H32" s="26"/>
      <c r="I32" s="6"/>
      <c r="L32" s="7" t="s">
        <v>124</v>
      </c>
      <c r="M32" s="7"/>
      <c r="O32" s="66" t="s">
        <v>125</v>
      </c>
      <c r="S32" s="8">
        <v>26</v>
      </c>
      <c r="T32" s="8"/>
      <c r="U32" s="8"/>
      <c r="V32" s="8"/>
      <c r="W32" s="8"/>
      <c r="X32" s="8"/>
      <c r="AA32" s="8">
        <v>26</v>
      </c>
      <c r="AB32" s="8"/>
      <c r="AC32" s="8"/>
      <c r="AD32" s="8"/>
      <c r="AE32" s="8"/>
      <c r="AF32" s="8"/>
      <c r="AG32" s="8"/>
      <c r="AH32" s="8"/>
      <c r="AJ32" s="8">
        <v>26</v>
      </c>
      <c r="AK32" s="8"/>
      <c r="AL32" s="8"/>
      <c r="AM32" s="8"/>
      <c r="AN32" s="8"/>
      <c r="AO32" s="8">
        <v>12</v>
      </c>
      <c r="AP32" s="1" t="s">
        <v>126</v>
      </c>
      <c r="AQ32" t="s">
        <v>30</v>
      </c>
    </row>
    <row r="33" spans="1:43" ht="12.75">
      <c r="A33" s="46" t="s">
        <v>127</v>
      </c>
      <c r="B33" s="26" t="s">
        <v>128</v>
      </c>
      <c r="C33" s="50"/>
      <c r="D33" s="51"/>
      <c r="E33" s="4"/>
      <c r="F33" s="26">
        <f>$F$12</f>
        <v>12.2004</v>
      </c>
      <c r="G33" s="26"/>
      <c r="H33" s="26"/>
      <c r="I33" s="6"/>
      <c r="L33" s="7" t="s">
        <v>129</v>
      </c>
      <c r="N33" s="7"/>
      <c r="O33" s="66"/>
      <c r="S33" s="8">
        <v>26</v>
      </c>
      <c r="T33" s="8"/>
      <c r="U33" s="8"/>
      <c r="V33" s="8"/>
      <c r="W33" s="8"/>
      <c r="X33" s="8"/>
      <c r="AA33" s="8">
        <v>26</v>
      </c>
      <c r="AB33" s="8"/>
      <c r="AC33" s="8"/>
      <c r="AD33" s="8"/>
      <c r="AE33" s="8"/>
      <c r="AF33" s="8"/>
      <c r="AG33" s="8"/>
      <c r="AH33" s="8"/>
      <c r="AJ33" s="8">
        <v>27</v>
      </c>
      <c r="AK33" s="8"/>
      <c r="AL33" s="8"/>
      <c r="AM33" s="8"/>
      <c r="AN33" s="8"/>
      <c r="AO33" s="8">
        <v>12</v>
      </c>
      <c r="AP33" s="1" t="s">
        <v>130</v>
      </c>
      <c r="AQ33" t="s">
        <v>30</v>
      </c>
    </row>
    <row r="34" spans="1:43" ht="12.75">
      <c r="A34" s="45" t="s">
        <v>131</v>
      </c>
      <c r="B34" s="46" t="s">
        <v>132</v>
      </c>
      <c r="C34" s="67" t="s">
        <v>133</v>
      </c>
      <c r="D34" s="68">
        <v>0</v>
      </c>
      <c r="E34" s="4">
        <v>0</v>
      </c>
      <c r="F34" s="26">
        <f>IF(D34=0,ROUND($C$67+$H$67,4),D34)</f>
        <v>12.2004</v>
      </c>
      <c r="G34" s="26">
        <f>ROUND(E34*F34,2)</f>
        <v>0</v>
      </c>
      <c r="H34" s="26"/>
      <c r="I34" s="6"/>
      <c r="L34" s="7" t="s">
        <v>134</v>
      </c>
      <c r="O34" s="66"/>
      <c r="S34" s="8">
        <v>26</v>
      </c>
      <c r="T34" s="8"/>
      <c r="U34" s="8"/>
      <c r="V34" s="8"/>
      <c r="W34" s="8"/>
      <c r="X34" s="8"/>
      <c r="AA34" s="8">
        <v>26</v>
      </c>
      <c r="AB34" s="8"/>
      <c r="AC34" s="8"/>
      <c r="AD34" s="8"/>
      <c r="AE34" s="8"/>
      <c r="AF34" s="8"/>
      <c r="AG34" s="8"/>
      <c r="AH34" s="8"/>
      <c r="AJ34" s="8">
        <v>28</v>
      </c>
      <c r="AK34" s="8"/>
      <c r="AL34" s="8"/>
      <c r="AM34" s="8"/>
      <c r="AN34" s="8"/>
      <c r="AO34" s="8">
        <v>13</v>
      </c>
      <c r="AP34" s="62" t="s">
        <v>135</v>
      </c>
      <c r="AQ34" t="s">
        <v>31</v>
      </c>
    </row>
    <row r="35" spans="1:43" ht="12.75">
      <c r="A35" s="46" t="s">
        <v>136</v>
      </c>
      <c r="B35" s="46" t="s">
        <v>137</v>
      </c>
      <c r="C35" s="50"/>
      <c r="D35" s="51"/>
      <c r="E35" s="4"/>
      <c r="F35" s="26">
        <f>$F$12</f>
        <v>12.2004</v>
      </c>
      <c r="G35" s="26">
        <f>ROUND(E35*F35,2)</f>
        <v>0</v>
      </c>
      <c r="H35" s="26"/>
      <c r="I35" s="6"/>
      <c r="L35" s="69" t="s">
        <v>138</v>
      </c>
      <c r="M35" s="70"/>
      <c r="N35" s="71">
        <v>0</v>
      </c>
      <c r="O35" s="66"/>
      <c r="Q35" s="72">
        <f>$AR$5</f>
        <v>1</v>
      </c>
      <c r="R35" s="73"/>
      <c r="AO35" s="8">
        <v>14</v>
      </c>
      <c r="AP35" s="62" t="s">
        <v>139</v>
      </c>
      <c r="AQ35" t="s">
        <v>32</v>
      </c>
    </row>
    <row r="36" spans="1:43" ht="12.75">
      <c r="A36" s="45" t="s">
        <v>140</v>
      </c>
      <c r="B36" s="46" t="s">
        <v>141</v>
      </c>
      <c r="C36" s="67" t="s">
        <v>133</v>
      </c>
      <c r="D36" s="68">
        <v>0</v>
      </c>
      <c r="E36" s="4">
        <v>0</v>
      </c>
      <c r="F36" s="26">
        <f>IF(D36=0,ROUND($C$67+(($H$67/35)*25),4),D36)</f>
        <v>12.2004</v>
      </c>
      <c r="G36" s="26">
        <f>ROUND(E36*F36,2)</f>
        <v>0</v>
      </c>
      <c r="H36" s="26"/>
      <c r="I36" s="6"/>
      <c r="K36">
        <v>3</v>
      </c>
      <c r="L36" s="7" t="s">
        <v>142</v>
      </c>
      <c r="N36" s="74"/>
      <c r="O36" s="66">
        <f>3650/2+84</f>
        <v>1909</v>
      </c>
      <c r="Q36" s="75" t="s">
        <v>143</v>
      </c>
      <c r="R36" s="76" t="s">
        <v>144</v>
      </c>
      <c r="AO36" s="8">
        <v>14</v>
      </c>
      <c r="AP36" s="1" t="s">
        <v>145</v>
      </c>
      <c r="AQ36" t="s">
        <v>32</v>
      </c>
    </row>
    <row r="37" spans="1:43" ht="12.75">
      <c r="A37" s="45" t="s">
        <v>146</v>
      </c>
      <c r="B37" s="46" t="s">
        <v>147</v>
      </c>
      <c r="C37" s="50"/>
      <c r="D37" s="51"/>
      <c r="E37" s="4">
        <v>0</v>
      </c>
      <c r="F37" s="26">
        <f>$F$12</f>
        <v>12.2004</v>
      </c>
      <c r="G37" s="26">
        <f>ROUND(E37*F37+D37+(C37*$F$3),2)</f>
        <v>0</v>
      </c>
      <c r="H37" s="26"/>
      <c r="I37" s="6"/>
      <c r="K37" s="8">
        <v>4</v>
      </c>
      <c r="L37" s="7" t="s">
        <v>148</v>
      </c>
      <c r="N37" t="s">
        <v>149</v>
      </c>
      <c r="O37" s="33"/>
      <c r="Q37" s="77">
        <f>IF($Q$35=1,1,0)</f>
        <v>1</v>
      </c>
      <c r="R37" s="78">
        <f>IF($Q$35=3,1,0)</f>
        <v>0</v>
      </c>
      <c r="T37" s="33">
        <v>15</v>
      </c>
      <c r="U37" s="33" t="s">
        <v>150</v>
      </c>
      <c r="AO37" s="8">
        <v>14</v>
      </c>
      <c r="AP37" s="1" t="s">
        <v>151</v>
      </c>
      <c r="AQ37" t="s">
        <v>32</v>
      </c>
    </row>
    <row r="38" spans="1:43" ht="12.75">
      <c r="A38" s="46" t="s">
        <v>146</v>
      </c>
      <c r="B38" s="46" t="s">
        <v>147</v>
      </c>
      <c r="C38" s="50"/>
      <c r="D38" s="51"/>
      <c r="E38" s="4"/>
      <c r="F38" s="26">
        <f>$F$12</f>
        <v>12.2004</v>
      </c>
      <c r="G38" s="26">
        <f>ROUND(E38*F38+D38+(C38*$F$3),2)</f>
        <v>0</v>
      </c>
      <c r="H38" s="26"/>
      <c r="I38" s="6"/>
      <c r="K38" s="8">
        <v>5</v>
      </c>
      <c r="L38" s="7" t="s">
        <v>152</v>
      </c>
      <c r="N38" t="s">
        <v>153</v>
      </c>
      <c r="O38" s="33"/>
      <c r="Q38" s="77">
        <f>IF($Q$35=2,2,0)</f>
        <v>0</v>
      </c>
      <c r="R38" s="78">
        <f>IF($Q$35=4,2,0)</f>
        <v>0</v>
      </c>
      <c r="S38" s="8">
        <v>1</v>
      </c>
      <c r="T38" s="33">
        <v>1</v>
      </c>
      <c r="U38" s="74">
        <f>$O$67</f>
        <v>91.8</v>
      </c>
      <c r="AJ38" s="8"/>
      <c r="AK38" s="8"/>
      <c r="AL38" s="8"/>
      <c r="AM38" s="8"/>
      <c r="AN38" s="7"/>
      <c r="AO38" s="8">
        <v>15</v>
      </c>
      <c r="AP38" s="1" t="s">
        <v>154</v>
      </c>
      <c r="AQ38" t="s">
        <v>33</v>
      </c>
    </row>
    <row r="39" spans="1:43" ht="12.75">
      <c r="A39" s="46" t="s">
        <v>155</v>
      </c>
      <c r="B39" s="46" t="s">
        <v>147</v>
      </c>
      <c r="C39" s="50"/>
      <c r="D39" s="51"/>
      <c r="E39" s="4"/>
      <c r="F39" s="12"/>
      <c r="G39" s="26">
        <f>ROUND(E39*F39+D39+(C39*$F$3),2)</f>
        <v>0</v>
      </c>
      <c r="H39" s="26"/>
      <c r="I39" s="6"/>
      <c r="K39" s="8">
        <v>6</v>
      </c>
      <c r="L39" s="7" t="s">
        <v>156</v>
      </c>
      <c r="N39" t="s">
        <v>157</v>
      </c>
      <c r="O39" s="33"/>
      <c r="Q39" s="77">
        <f>IF($Q$35=3,1,0)</f>
        <v>0</v>
      </c>
      <c r="R39" s="78">
        <f>IF($Q$35=5,3,0)</f>
        <v>0</v>
      </c>
      <c r="S39" s="8">
        <v>2</v>
      </c>
      <c r="T39" s="33">
        <v>2</v>
      </c>
      <c r="U39" s="74">
        <f>$O$67</f>
        <v>91.8</v>
      </c>
      <c r="AO39" s="8">
        <v>18</v>
      </c>
      <c r="AP39" s="62" t="s">
        <v>158</v>
      </c>
      <c r="AQ39" t="s">
        <v>159</v>
      </c>
    </row>
    <row r="40" spans="1:43" ht="12" customHeight="1">
      <c r="A40" s="46" t="s">
        <v>155</v>
      </c>
      <c r="B40" s="26" t="s">
        <v>147</v>
      </c>
      <c r="C40" s="50"/>
      <c r="D40" s="51"/>
      <c r="E40" s="4"/>
      <c r="F40" s="12"/>
      <c r="G40" s="26">
        <f>ROUND(E40*F40+D40+(C40*$F$3),2)</f>
        <v>0</v>
      </c>
      <c r="H40" s="26"/>
      <c r="I40" s="6"/>
      <c r="K40" s="8">
        <v>7</v>
      </c>
      <c r="L40" s="7" t="s">
        <v>160</v>
      </c>
      <c r="N40" t="s">
        <v>161</v>
      </c>
      <c r="O40" s="33"/>
      <c r="Q40" s="77">
        <f>IF($Q$35=4,1,0)</f>
        <v>0</v>
      </c>
      <c r="R40" s="78">
        <f>IF($Q$35=6,4,0)</f>
        <v>0</v>
      </c>
      <c r="S40" s="8">
        <v>3</v>
      </c>
      <c r="T40" s="33" t="s">
        <v>48</v>
      </c>
      <c r="U40" s="74">
        <f>$O$67</f>
        <v>91.8</v>
      </c>
      <c r="AO40" s="8">
        <v>19</v>
      </c>
      <c r="AP40" s="62" t="s">
        <v>162</v>
      </c>
      <c r="AQ40" t="s">
        <v>35</v>
      </c>
    </row>
    <row r="41" spans="1:43" ht="12" customHeight="1">
      <c r="A41" s="46"/>
      <c r="B41" s="79" t="s">
        <v>163</v>
      </c>
      <c r="C41" s="50"/>
      <c r="D41" s="51"/>
      <c r="E41" s="50"/>
      <c r="F41" s="26"/>
      <c r="G41" s="26">
        <f>ROUND(E41*F41+D41+(C41*$F$3),2)</f>
        <v>0</v>
      </c>
      <c r="H41" s="26"/>
      <c r="I41" s="6"/>
      <c r="K41" s="8">
        <v>8</v>
      </c>
      <c r="L41" s="7" t="s">
        <v>164</v>
      </c>
      <c r="O41" s="33"/>
      <c r="Q41" s="77">
        <f>IF($Q$35=5,1,0)</f>
        <v>0</v>
      </c>
      <c r="R41" s="78">
        <f>IF($Q$35=7,1,0)</f>
        <v>0</v>
      </c>
      <c r="S41" s="8">
        <v>4</v>
      </c>
      <c r="T41" s="38">
        <v>0.3</v>
      </c>
      <c r="U41" s="74">
        <f>IF(ROUNDDOWN(($D$55*0.3),1)&lt;1,0,ROUNDDOWN(($D$55*0.3),1))</f>
        <v>527.6</v>
      </c>
      <c r="AO41" s="8">
        <v>20</v>
      </c>
      <c r="AP41" s="1" t="s">
        <v>165</v>
      </c>
      <c r="AQ41" t="s">
        <v>36</v>
      </c>
    </row>
    <row r="42" spans="1:43" ht="12" customHeight="1">
      <c r="A42" s="45" t="s">
        <v>166</v>
      </c>
      <c r="B42" s="46" t="s">
        <v>167</v>
      </c>
      <c r="C42" s="50">
        <f>IF(F2*8.1%&lt;25,25,(IF(F2*8.1%&gt;29,29,F2*8.1%)))</f>
        <v>25</v>
      </c>
      <c r="D42" s="51"/>
      <c r="E42" s="55"/>
      <c r="F42" s="80"/>
      <c r="G42" s="26">
        <f>IF(J1,ROUND((C42*$F$3),2),0)</f>
        <v>0</v>
      </c>
      <c r="H42" s="26"/>
      <c r="I42" s="6"/>
      <c r="K42" s="8"/>
      <c r="L42" s="7"/>
      <c r="O42" s="33"/>
      <c r="Q42" s="77">
        <f>IF($Q$35=6,1,0)</f>
        <v>0</v>
      </c>
      <c r="R42" s="78">
        <f>IF($Q$35=8,2,0)</f>
        <v>0</v>
      </c>
      <c r="S42" s="8">
        <v>5</v>
      </c>
      <c r="T42" s="38">
        <v>0.18</v>
      </c>
      <c r="U42" s="74">
        <f>IF(ROUNDDOWN(($D$55*0.18),1)&lt;1,0,ROUNDDOWN(($D$55*0.18),1))</f>
        <v>316.5</v>
      </c>
      <c r="AO42" s="8">
        <v>20</v>
      </c>
      <c r="AP42" s="65" t="s">
        <v>168</v>
      </c>
      <c r="AQ42" t="s">
        <v>36</v>
      </c>
    </row>
    <row r="43" spans="1:43" ht="12" customHeight="1">
      <c r="A43" s="45"/>
      <c r="B43" s="26" t="s">
        <v>169</v>
      </c>
      <c r="C43" s="4"/>
      <c r="D43" s="51"/>
      <c r="E43" s="81"/>
      <c r="F43" s="46"/>
      <c r="G43" s="26">
        <f>ROUND(E43*F43+D43+(C43*$F$3),2)</f>
        <v>0</v>
      </c>
      <c r="H43" s="26"/>
      <c r="I43" s="6"/>
      <c r="K43" s="7" t="s">
        <v>170</v>
      </c>
      <c r="L43" s="7">
        <f>Q47</f>
        <v>1</v>
      </c>
      <c r="O43" s="33"/>
      <c r="Q43" s="77">
        <f>IF($Q$35=7,2,0)</f>
        <v>0</v>
      </c>
      <c r="R43" s="78">
        <f>IF($Q$35=9,3,0)</f>
        <v>0</v>
      </c>
      <c r="S43" s="8">
        <v>6</v>
      </c>
      <c r="T43" s="38">
        <v>0.12</v>
      </c>
      <c r="U43" s="74">
        <f>IF(ROUNDDOWN(($D$55*0.12),1)&lt;1,0,ROUNDDOWN(($D$55*0.12),1))</f>
        <v>211</v>
      </c>
      <c r="AO43" s="8">
        <v>20</v>
      </c>
      <c r="AP43" s="62" t="s">
        <v>171</v>
      </c>
      <c r="AQ43" t="s">
        <v>36</v>
      </c>
    </row>
    <row r="44" spans="1:43" ht="12" customHeight="1">
      <c r="A44" s="45"/>
      <c r="B44" s="26" t="s">
        <v>172</v>
      </c>
      <c r="C44" s="50"/>
      <c r="D44" s="82">
        <v>0</v>
      </c>
      <c r="E44" s="81"/>
      <c r="F44" s="46"/>
      <c r="G44" s="26">
        <f>ROUND(E44*F44+D44+(C44*$F$3),2)</f>
        <v>0</v>
      </c>
      <c r="H44" s="26"/>
      <c r="I44" s="6"/>
      <c r="K44" t="s">
        <v>173</v>
      </c>
      <c r="L44">
        <f>R45</f>
        <v>0</v>
      </c>
      <c r="O44" s="83">
        <f>L44*N35</f>
        <v>0</v>
      </c>
      <c r="Q44" s="77">
        <f>IF($Q$35=8,2,0)</f>
        <v>0</v>
      </c>
      <c r="R44" s="78">
        <f>IF($Q$35=10,4,0)</f>
        <v>0</v>
      </c>
      <c r="S44" s="8">
        <v>7</v>
      </c>
      <c r="T44" s="38"/>
      <c r="U44" s="74">
        <v>0</v>
      </c>
      <c r="AO44" s="8">
        <v>21</v>
      </c>
      <c r="AP44" s="62" t="s">
        <v>174</v>
      </c>
      <c r="AQ44" t="s">
        <v>37</v>
      </c>
    </row>
    <row r="45" spans="1:21" ht="12.75">
      <c r="A45" s="46" t="s">
        <v>175</v>
      </c>
      <c r="B45" s="79" t="s">
        <v>176</v>
      </c>
      <c r="C45" s="79"/>
      <c r="D45" s="79"/>
      <c r="E45" s="79"/>
      <c r="F45" s="79"/>
      <c r="G45" s="79">
        <f>SUM(G12:G44)</f>
        <v>2005.14</v>
      </c>
      <c r="H45" s="26"/>
      <c r="I45" s="6"/>
      <c r="O45" s="83"/>
      <c r="Q45" s="77">
        <f>IF($Q$35=9,2,0)</f>
        <v>0</v>
      </c>
      <c r="R45" s="76">
        <f>SUM(R37:R44)</f>
        <v>0</v>
      </c>
      <c r="S45" s="84">
        <v>8</v>
      </c>
      <c r="T45" s="85"/>
      <c r="U45" s="86">
        <f>$O$67</f>
        <v>91.8</v>
      </c>
    </row>
    <row r="46" spans="1:42" ht="12.75">
      <c r="A46" s="45"/>
      <c r="B46" s="87"/>
      <c r="C46" s="81"/>
      <c r="D46" s="81"/>
      <c r="E46" s="55"/>
      <c r="F46" s="80"/>
      <c r="G46" s="26">
        <f>ROUND(E46*F46+D46+(C46*$F$3),2)</f>
        <v>0</v>
      </c>
      <c r="H46" s="26"/>
      <c r="I46" s="6"/>
      <c r="N46" s="88" t="s">
        <v>177</v>
      </c>
      <c r="O46" s="89"/>
      <c r="Q46" s="77">
        <f>IF($Q$35=10,2,0)</f>
        <v>0</v>
      </c>
      <c r="R46" s="90"/>
      <c r="S46" s="91">
        <v>9</v>
      </c>
      <c r="T46" s="92"/>
      <c r="U46" s="93">
        <f>$O$67</f>
        <v>91.8</v>
      </c>
      <c r="AO46" s="8"/>
      <c r="AP46" s="62"/>
    </row>
    <row r="47" spans="1:42" ht="12.75">
      <c r="A47" s="45"/>
      <c r="B47" s="94" t="s">
        <v>178</v>
      </c>
      <c r="C47" s="95"/>
      <c r="D47" s="96">
        <v>0</v>
      </c>
      <c r="E47" s="97"/>
      <c r="F47" s="98"/>
      <c r="G47" s="99">
        <f>ROUND(E47*F47+D47+(C47*$F$3),2)</f>
        <v>0</v>
      </c>
      <c r="H47" s="26"/>
      <c r="I47" s="6"/>
      <c r="K47" t="s">
        <v>179</v>
      </c>
      <c r="L47">
        <f>D55</f>
        <v>1758.8300000000002</v>
      </c>
      <c r="M47">
        <v>4</v>
      </c>
      <c r="O47" s="100">
        <f>$P$27*($M$48+85)-2*$Q$27</f>
        <v>-96.79999999999995</v>
      </c>
      <c r="Q47" s="101">
        <f>SUM(Q37:Q46)</f>
        <v>1</v>
      </c>
      <c r="R47" s="102"/>
      <c r="S47" s="91">
        <v>10</v>
      </c>
      <c r="T47" s="103"/>
      <c r="U47" s="93">
        <f>$O$67</f>
        <v>91.8</v>
      </c>
      <c r="AO47" s="8"/>
      <c r="AP47" s="62"/>
    </row>
    <row r="48" spans="1:52" ht="12.75">
      <c r="A48" s="45"/>
      <c r="B48" s="87" t="s">
        <v>180</v>
      </c>
      <c r="C48" s="80"/>
      <c r="D48" s="104"/>
      <c r="E48" s="26"/>
      <c r="F48" s="26"/>
      <c r="G48" s="105">
        <f>G49+G50+G51</f>
        <v>221.56</v>
      </c>
      <c r="H48" s="26"/>
      <c r="I48" s="6"/>
      <c r="K48" t="s">
        <v>181</v>
      </c>
      <c r="L48">
        <f>SUM(L49:L51)</f>
        <v>1758.8300000000002</v>
      </c>
      <c r="M48">
        <f>(ROUNDDOWN(Imposable*0.2,0))/0.2</f>
        <v>1755</v>
      </c>
      <c r="N48" s="106" t="s">
        <v>182</v>
      </c>
      <c r="O48" s="107">
        <f>O47-$O$44</f>
        <v>-96.79999999999995</v>
      </c>
      <c r="P48" s="74">
        <f>ROUNDDOWN(O48,1)</f>
        <v>-96.8</v>
      </c>
      <c r="S48" s="108">
        <v>11</v>
      </c>
      <c r="T48" s="109" t="s">
        <v>183</v>
      </c>
      <c r="U48" s="93">
        <v>0</v>
      </c>
      <c r="AO48">
        <f>INDEX(AO6:AO44,AP5,1,1)</f>
        <v>19</v>
      </c>
      <c r="AR48" s="110"/>
      <c r="AZ48" s="12"/>
    </row>
    <row r="49" spans="1:44" ht="12.75">
      <c r="A49" s="45" t="s">
        <v>184</v>
      </c>
      <c r="B49" s="46" t="s">
        <v>185</v>
      </c>
      <c r="C49" s="80"/>
      <c r="D49" s="104">
        <f>G45</f>
        <v>2005.14</v>
      </c>
      <c r="E49" s="26"/>
      <c r="F49" s="111">
        <v>0.028</v>
      </c>
      <c r="G49" s="26">
        <f>ROUND(D49*F49,2)</f>
        <v>56.14</v>
      </c>
      <c r="H49" s="26"/>
      <c r="I49" s="6"/>
      <c r="K49" t="s">
        <v>186</v>
      </c>
      <c r="L49">
        <f>IF(Q35=1,Imposable,0)</f>
        <v>1758.8300000000002</v>
      </c>
      <c r="N49" s="112">
        <v>0.07</v>
      </c>
      <c r="O49" s="113">
        <f>IF(ROUNDDOWN(($P$48*1.07),1)&lt;1,0,ROUNDDOWN(($P$48*1.07),1))</f>
        <v>0</v>
      </c>
      <c r="S49" s="108">
        <v>12</v>
      </c>
      <c r="T49" s="109" t="s">
        <v>187</v>
      </c>
      <c r="U49" s="93">
        <f>IF(ROUNDDOWN(($D$55*0.18),1)&lt;1,0,ROUNDDOWN(($D$55*0.18),1))</f>
        <v>316.5</v>
      </c>
      <c r="AR49" s="110"/>
    </row>
    <row r="50" spans="1:21" ht="12.75">
      <c r="A50" s="45" t="s">
        <v>188</v>
      </c>
      <c r="B50" s="46" t="s">
        <v>189</v>
      </c>
      <c r="C50" s="80"/>
      <c r="D50" s="104">
        <f>G45</f>
        <v>2005.14</v>
      </c>
      <c r="E50" s="26"/>
      <c r="F50" s="111">
        <v>0.0025</v>
      </c>
      <c r="G50" s="26">
        <f>ROUND(D50*F50,2)</f>
        <v>5.01</v>
      </c>
      <c r="H50" s="26"/>
      <c r="I50" s="6"/>
      <c r="K50" t="s">
        <v>190</v>
      </c>
      <c r="L50">
        <f>IF($Q$47=1,IF($R$45&gt;0,(Imposable*1.5)-1936.5,0),0)</f>
        <v>0</v>
      </c>
      <c r="O50">
        <f>IF(L43=2,O49,0)</f>
        <v>0</v>
      </c>
      <c r="S50" s="108">
        <v>13</v>
      </c>
      <c r="T50" s="109" t="s">
        <v>191</v>
      </c>
      <c r="U50" s="93">
        <f>IF(ROUNDDOWN(($D$55*0.22),1)&lt;1,0,ROUNDDOWN(($D$55*0.22),1))</f>
        <v>386.9</v>
      </c>
    </row>
    <row r="51" spans="1:21" ht="12.75">
      <c r="A51" s="45" t="s">
        <v>192</v>
      </c>
      <c r="B51" s="46" t="s">
        <v>193</v>
      </c>
      <c r="C51" s="80"/>
      <c r="D51" s="104">
        <f>G45</f>
        <v>2005.14</v>
      </c>
      <c r="E51" s="26"/>
      <c r="F51" s="111">
        <v>0.08</v>
      </c>
      <c r="G51" s="26">
        <f>ROUND(D51*F51,2)</f>
        <v>160.41</v>
      </c>
      <c r="H51" s="26"/>
      <c r="I51" s="6"/>
      <c r="K51" t="s">
        <v>194</v>
      </c>
      <c r="L51">
        <f>IF($Q$47=2,(Imposable/2)+42.5,0)</f>
        <v>0</v>
      </c>
      <c r="N51" s="88" t="s">
        <v>195</v>
      </c>
      <c r="O51" s="114"/>
      <c r="S51" s="108">
        <v>14</v>
      </c>
      <c r="T51" s="109" t="s">
        <v>196</v>
      </c>
      <c r="U51" s="93">
        <f>IF(ROUNDDOWN(($D$55*0.34),1)&lt;1,0,ROUNDDOWN(($D$55*0.34),1))</f>
        <v>598</v>
      </c>
    </row>
    <row r="52" spans="1:21" ht="12.75">
      <c r="A52" s="45" t="s">
        <v>197</v>
      </c>
      <c r="B52" s="115" t="s">
        <v>198</v>
      </c>
      <c r="C52" s="80"/>
      <c r="D52" s="104"/>
      <c r="E52" s="104">
        <f>SUM(G12:G44)-D71</f>
        <v>1524.39894525</v>
      </c>
      <c r="F52" s="116">
        <v>0.014</v>
      </c>
      <c r="G52" s="26">
        <f>ROUNDDOWN(E52*F52+D52+(C52*$F$3),2)</f>
        <v>21.34</v>
      </c>
      <c r="H52" s="26"/>
      <c r="I52" s="6"/>
      <c r="O52" s="100">
        <f>$P$27*Rp-$Q$27</f>
        <v>85.81280000000001</v>
      </c>
      <c r="P52" s="74">
        <f>ROUNDDOWN(O52,1)</f>
        <v>85.8</v>
      </c>
      <c r="S52" s="108">
        <v>15</v>
      </c>
      <c r="T52" s="109" t="s">
        <v>199</v>
      </c>
      <c r="U52" s="93">
        <f>IF(ROUNDDOWN(($D$55*0.36),1)&lt;1,0,ROUNDDOWN(($D$55*0.36),1))</f>
        <v>633.1</v>
      </c>
    </row>
    <row r="53" spans="1:21" ht="12.75">
      <c r="A53" s="45" t="s">
        <v>242</v>
      </c>
      <c r="B53" s="115" t="s">
        <v>241</v>
      </c>
      <c r="C53" s="80"/>
      <c r="D53" s="104"/>
      <c r="E53" s="104">
        <f>SUM(G12:G44)-C71</f>
        <v>82.17578100000014</v>
      </c>
      <c r="F53" s="116">
        <v>0.005</v>
      </c>
      <c r="G53" s="26">
        <f>ROUND(E53*F53,2)</f>
        <v>0.41</v>
      </c>
      <c r="H53" s="26"/>
      <c r="I53" s="6"/>
      <c r="O53" s="100"/>
      <c r="P53" s="74"/>
      <c r="S53" s="108"/>
      <c r="T53" s="109"/>
      <c r="U53" s="93"/>
    </row>
    <row r="54" spans="1:42" ht="12.75">
      <c r="A54" s="46" t="s">
        <v>200</v>
      </c>
      <c r="B54" s="117" t="s">
        <v>201</v>
      </c>
      <c r="C54" s="80"/>
      <c r="D54" s="104"/>
      <c r="E54" s="104"/>
      <c r="F54" s="116"/>
      <c r="G54" s="26">
        <f>F6</f>
        <v>24.75</v>
      </c>
      <c r="H54" s="26"/>
      <c r="I54" s="6"/>
      <c r="N54" s="112">
        <v>0.07</v>
      </c>
      <c r="O54" s="113">
        <f>IF(ROUNDDOWN(($P52*1.07),1)&lt;1,0,ROUNDDOWN(($P52*1.07),1))</f>
        <v>91.8</v>
      </c>
      <c r="S54" s="120">
        <v>16</v>
      </c>
      <c r="T54" s="121" t="s">
        <v>204</v>
      </c>
      <c r="U54" s="122">
        <f>IF(ROUNDDOWN(($D$55*0.38),1)&lt;1,0,ROUNDDOWN(($D$55*0.38),1))</f>
        <v>668.3</v>
      </c>
      <c r="AL54" s="1"/>
      <c r="AP54"/>
    </row>
    <row r="55" spans="1:42" ht="12.75">
      <c r="A55" s="46" t="s">
        <v>202</v>
      </c>
      <c r="B55" s="46" t="s">
        <v>203</v>
      </c>
      <c r="C55" s="80"/>
      <c r="D55" s="118">
        <f>G45-SUM(G49:G51)-G54-SUM(G26:G28)</f>
        <v>1758.8300000000002</v>
      </c>
      <c r="E55" s="26"/>
      <c r="F55" s="26"/>
      <c r="G55" s="119">
        <f>G45-SUM(G49:G51)-G54-SUM(G26:G28)</f>
        <v>1758.8300000000002</v>
      </c>
      <c r="H55" s="26"/>
      <c r="I55" s="6"/>
      <c r="O55" s="123">
        <f>IF(L43=1,(IF(L44=0,O54,0)),0)</f>
        <v>91.8</v>
      </c>
      <c r="AL55" s="1"/>
      <c r="AP55"/>
    </row>
    <row r="56" spans="1:42" ht="12.75">
      <c r="A56" s="45" t="s">
        <v>205</v>
      </c>
      <c r="B56" s="46" t="s">
        <v>206</v>
      </c>
      <c r="C56" s="26"/>
      <c r="D56" s="26"/>
      <c r="E56" s="26"/>
      <c r="F56" s="26"/>
      <c r="G56" s="119">
        <f>INDEX(U38:U54,Q35,1)</f>
        <v>91.8</v>
      </c>
      <c r="H56" s="26"/>
      <c r="I56" s="6"/>
      <c r="N56" s="88" t="s">
        <v>209</v>
      </c>
      <c r="O56" s="114"/>
      <c r="AL56" s="1"/>
      <c r="AP56"/>
    </row>
    <row r="57" spans="1:42" ht="12.75">
      <c r="A57" s="46" t="s">
        <v>207</v>
      </c>
      <c r="B57" s="87" t="s">
        <v>208</v>
      </c>
      <c r="C57" s="124"/>
      <c r="D57" s="124"/>
      <c r="E57" s="124"/>
      <c r="F57" s="125"/>
      <c r="G57" s="126">
        <f>G45-G48-G52-G53-G56</f>
        <v>1670.0300000000002</v>
      </c>
      <c r="H57" s="26"/>
      <c r="I57" s="6"/>
      <c r="O57" s="100">
        <f>$P$27*(1.5*($M$48)-1920)-$Q$27</f>
        <v>-81.6</v>
      </c>
      <c r="AL57" s="1"/>
      <c r="AP57"/>
    </row>
    <row r="58" spans="1:42" ht="12.75">
      <c r="A58" s="45" t="s">
        <v>210</v>
      </c>
      <c r="B58" s="46" t="s">
        <v>211</v>
      </c>
      <c r="C58" s="127"/>
      <c r="D58" s="127"/>
      <c r="E58" s="127"/>
      <c r="F58" s="127"/>
      <c r="G58" s="123">
        <v>0</v>
      </c>
      <c r="H58" s="26"/>
      <c r="I58" s="6"/>
      <c r="N58" s="106" t="s">
        <v>182</v>
      </c>
      <c r="O58" s="107">
        <f>O57-$O$44</f>
        <v>-81.6</v>
      </c>
      <c r="P58" s="74">
        <f>ROUNDDOWN(O58,1)</f>
        <v>-81.6</v>
      </c>
      <c r="AL58" s="1"/>
      <c r="AP58"/>
    </row>
    <row r="59" spans="1:15" ht="12.75">
      <c r="A59" s="45" t="s">
        <v>212</v>
      </c>
      <c r="B59" s="46" t="s">
        <v>213</v>
      </c>
      <c r="C59" s="127"/>
      <c r="D59" s="127"/>
      <c r="E59" s="127"/>
      <c r="F59" s="127"/>
      <c r="G59" s="119">
        <v>25</v>
      </c>
      <c r="H59" s="26"/>
      <c r="I59" s="6"/>
      <c r="N59" s="112">
        <v>0.07</v>
      </c>
      <c r="O59" s="113">
        <f>IF(ROUNDDOWN(($P58*1.07),1)&lt;1,0,ROUNDDOWN(($P58*1.07),1))</f>
        <v>0</v>
      </c>
    </row>
    <row r="60" spans="1:15" ht="12.75">
      <c r="A60" s="45" t="s">
        <v>214</v>
      </c>
      <c r="B60" s="46" t="s">
        <v>215</v>
      </c>
      <c r="C60" s="81"/>
      <c r="D60" s="55"/>
      <c r="E60" s="55"/>
      <c r="F60" s="80"/>
      <c r="G60" s="26">
        <f>IF(J2,31,0)</f>
        <v>0</v>
      </c>
      <c r="H60" s="26"/>
      <c r="I60" s="6"/>
      <c r="O60" s="12">
        <f>IF($L$43=1,IF($L$44&gt;0,IF($D$55&lt;=3020,O59,0),0),0)</f>
        <v>0</v>
      </c>
    </row>
    <row r="61" spans="1:15" ht="12.75">
      <c r="A61" s="45"/>
      <c r="B61" s="26" t="s">
        <v>216</v>
      </c>
      <c r="C61" s="26"/>
      <c r="D61" s="26"/>
      <c r="E61" s="80"/>
      <c r="F61" s="80"/>
      <c r="G61" s="119">
        <f>G57-G58+G59-G60</f>
        <v>1695.0300000000002</v>
      </c>
      <c r="H61" s="26"/>
      <c r="I61" s="6"/>
      <c r="N61" s="88" t="s">
        <v>218</v>
      </c>
      <c r="O61" s="114"/>
    </row>
    <row r="62" spans="1:15" ht="12.75">
      <c r="A62" s="45"/>
      <c r="B62" s="142" t="s">
        <v>217</v>
      </c>
      <c r="C62" s="142"/>
      <c r="D62" s="142"/>
      <c r="E62" s="142"/>
      <c r="F62" s="128"/>
      <c r="G62" s="129"/>
      <c r="H62" s="5"/>
      <c r="I62" s="6"/>
      <c r="O62" s="100">
        <f>0.4*($M$48)-938.7</f>
        <v>-236.70000000000005</v>
      </c>
    </row>
    <row r="63" spans="1:15" ht="12.75">
      <c r="A63" s="45"/>
      <c r="B63" s="5" t="s">
        <v>219</v>
      </c>
      <c r="C63" s="5" t="s">
        <v>220</v>
      </c>
      <c r="D63" s="5" t="s">
        <v>221</v>
      </c>
      <c r="E63" s="5" t="s">
        <v>222</v>
      </c>
      <c r="F63" s="5" t="s">
        <v>223</v>
      </c>
      <c r="G63" s="5" t="s">
        <v>224</v>
      </c>
      <c r="H63" s="5" t="s">
        <v>225</v>
      </c>
      <c r="I63" s="6"/>
      <c r="O63" s="100"/>
    </row>
    <row r="64" spans="1:16" ht="12.75">
      <c r="A64" s="45"/>
      <c r="B64" s="5" t="s">
        <v>226</v>
      </c>
      <c r="C64" s="130">
        <v>0</v>
      </c>
      <c r="D64" s="130">
        <v>0</v>
      </c>
      <c r="E64" s="131">
        <v>0</v>
      </c>
      <c r="F64" s="5">
        <f>ROUND((SUM(C64:E64))/($D$9*($C$9/100)*$F$1),4)</f>
        <v>0</v>
      </c>
      <c r="G64" s="5"/>
      <c r="H64" s="5"/>
      <c r="I64" s="6"/>
      <c r="N64" s="106" t="s">
        <v>182</v>
      </c>
      <c r="O64" s="107">
        <f>O62-$O$44</f>
        <v>-236.70000000000005</v>
      </c>
      <c r="P64" s="74">
        <f>ROUNDDOWN(O64,1)</f>
        <v>-236.7</v>
      </c>
    </row>
    <row r="65" spans="1:15" ht="12.75">
      <c r="A65" s="45"/>
      <c r="B65" s="5" t="s">
        <v>227</v>
      </c>
      <c r="C65" s="131">
        <v>0</v>
      </c>
      <c r="D65" s="131">
        <v>0</v>
      </c>
      <c r="E65" s="131">
        <v>0</v>
      </c>
      <c r="F65" s="5">
        <f>ROUND((SUM(C65:E65))/($D$9*($C$9/100)*$F$1),4)</f>
        <v>0</v>
      </c>
      <c r="G65" s="5">
        <f>F64</f>
        <v>0</v>
      </c>
      <c r="H65" s="5">
        <f>ROUND(G65*F1,4)</f>
        <v>0</v>
      </c>
      <c r="I65" s="6"/>
      <c r="N65" s="112">
        <v>0.07</v>
      </c>
      <c r="O65" s="113">
        <f>IF(ROUNDDOWN(($P64*1.07),1)&lt;1,0,ROUNDDOWN(($P64*1.07),1))</f>
        <v>0</v>
      </c>
    </row>
    <row r="66" spans="1:15" ht="12.75">
      <c r="A66" s="45"/>
      <c r="B66" s="132" t="s">
        <v>228</v>
      </c>
      <c r="C66" s="131">
        <v>0</v>
      </c>
      <c r="D66" s="131">
        <v>0</v>
      </c>
      <c r="E66" s="131">
        <v>0</v>
      </c>
      <c r="F66" s="5">
        <f>ROUND((SUM(C66:E66))/($D$9*($C$9/100)*$F$1),4)</f>
        <v>0</v>
      </c>
      <c r="G66" s="5">
        <f>ROUND(SUM(F64:F65)/2,4)</f>
        <v>0</v>
      </c>
      <c r="H66" s="5">
        <f>ROUND(G66*F1,4)</f>
        <v>0</v>
      </c>
      <c r="I66" s="6"/>
      <c r="O66" s="12">
        <f>IF($L$43=1,IF($L$44&gt;0,IF($D$55&gt;=3025,O65,0),0),0)</f>
        <v>0</v>
      </c>
    </row>
    <row r="67" spans="1:16" ht="13.5" customHeight="1">
      <c r="A67" s="45"/>
      <c r="B67" s="5" t="s">
        <v>229</v>
      </c>
      <c r="C67" s="5">
        <f>F12</f>
        <v>12.2004</v>
      </c>
      <c r="D67" s="5"/>
      <c r="E67" s="5"/>
      <c r="F67" s="5"/>
      <c r="G67" s="5">
        <f>ROUND(SUM(F64:F66)/3,4)</f>
        <v>0</v>
      </c>
      <c r="H67" s="5">
        <f>ROUND(G67*F1,4)</f>
        <v>0</v>
      </c>
      <c r="I67" s="6"/>
      <c r="N67" s="134" t="s">
        <v>231</v>
      </c>
      <c r="O67">
        <f>SUM(O50+O55+O60+O66)</f>
        <v>91.8</v>
      </c>
      <c r="P67" s="74">
        <f>SUM(P47:P65)</f>
        <v>-329.29999999999995</v>
      </c>
    </row>
    <row r="68" spans="1:9" ht="14.25" customHeight="1">
      <c r="A68" s="45"/>
      <c r="B68" s="132" t="s">
        <v>230</v>
      </c>
      <c r="C68" s="133">
        <f>ROUND($C$67+$H$67,4)</f>
        <v>12.2004</v>
      </c>
      <c r="D68" s="5"/>
      <c r="E68" s="5"/>
      <c r="F68" s="5"/>
      <c r="G68" s="5"/>
      <c r="H68" s="5"/>
      <c r="I68" s="6"/>
    </row>
    <row r="69" spans="1:9" ht="12.75">
      <c r="A69" s="45"/>
      <c r="B69" s="5" t="s">
        <v>232</v>
      </c>
      <c r="C69" s="135">
        <f>ROUND($C$67+(($H$67/35)*25),4)</f>
        <v>12.2004</v>
      </c>
      <c r="D69" s="5"/>
      <c r="E69" s="5"/>
      <c r="F69" s="5"/>
      <c r="G69" s="5"/>
      <c r="H69" s="5"/>
      <c r="I69" s="6"/>
    </row>
    <row r="70" spans="1:9" ht="15" customHeight="1">
      <c r="A70" s="45"/>
      <c r="B70" s="26" t="s">
        <v>233</v>
      </c>
      <c r="C70" s="136">
        <v>248.07</v>
      </c>
      <c r="D70" s="26" t="s">
        <v>235</v>
      </c>
      <c r="E70" s="26"/>
      <c r="F70" s="26"/>
      <c r="G70" s="26"/>
      <c r="H70" s="26"/>
      <c r="I70" s="6"/>
    </row>
    <row r="71" spans="1:9" ht="32.25" customHeight="1">
      <c r="A71" s="45"/>
      <c r="B71" s="26" t="s">
        <v>234</v>
      </c>
      <c r="C71" s="26">
        <f>C70*F1</f>
        <v>1922.964219</v>
      </c>
      <c r="D71" s="26">
        <f>IF(D9&gt;=160,C71/4,0)</f>
        <v>480.74105475</v>
      </c>
      <c r="E71" s="26"/>
      <c r="F71" s="26"/>
      <c r="G71" s="26"/>
      <c r="H71" s="26"/>
      <c r="I71" s="6"/>
    </row>
    <row r="72" spans="1:9" ht="290.25" customHeight="1">
      <c r="A72" s="45"/>
      <c r="B72" s="137"/>
      <c r="C72" s="26"/>
      <c r="D72" s="26"/>
      <c r="E72" s="26"/>
      <c r="F72" s="26"/>
      <c r="G72" s="26"/>
      <c r="H72" s="26"/>
      <c r="I72" s="6"/>
    </row>
    <row r="73" spans="1:8" ht="12.75">
      <c r="A73" s="138"/>
      <c r="B73" s="6"/>
      <c r="C73" s="6"/>
      <c r="D73" s="6"/>
      <c r="E73" s="6"/>
      <c r="F73" s="6"/>
      <c r="G73" s="6"/>
      <c r="H73" s="6"/>
    </row>
    <row r="76" spans="1:2" ht="12.75">
      <c r="A76" s="1" t="s">
        <v>237</v>
      </c>
      <c r="B76" s="1" t="s">
        <v>236</v>
      </c>
    </row>
    <row r="77" spans="1:2" ht="12.75">
      <c r="A77" s="139">
        <v>42005</v>
      </c>
      <c r="B77" t="s">
        <v>238</v>
      </c>
    </row>
    <row r="78" spans="1:2" ht="12.75">
      <c r="A78" s="139">
        <v>42005</v>
      </c>
      <c r="B78" t="s">
        <v>239</v>
      </c>
    </row>
    <row r="79" spans="1:2" ht="12.75">
      <c r="A79" s="139">
        <v>42005</v>
      </c>
      <c r="B79" t="s">
        <v>240</v>
      </c>
    </row>
  </sheetData>
  <sheetProtection selectLockedCells="1" selectUnlockedCells="1"/>
  <mergeCells count="3">
    <mergeCell ref="A2:A7"/>
    <mergeCell ref="E9:F9"/>
    <mergeCell ref="B62:E62"/>
  </mergeCells>
  <printOptions/>
  <pageMargins left="0.03958333333333333" right="0.03958333333333333" top="0" bottom="0.5902777777777778" header="0.5118055555555555" footer="0.5902777777777778"/>
  <pageSetup horizontalDpi="300" verticalDpi="300" orientation="portrait" paperSize="9"/>
  <headerFooter alignWithMargins="0">
    <oddFooter>&amp;LSans Garantie!&amp;RCopyrights: Fränk Siebenaller</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Fränk Siebenaller</dc:creator>
  <cp:keywords/>
  <dc:description/>
  <cp:lastModifiedBy>Fränk Siebenaller</cp:lastModifiedBy>
  <dcterms:created xsi:type="dcterms:W3CDTF">2015-02-15T16:55:41Z</dcterms:created>
  <dcterms:modified xsi:type="dcterms:W3CDTF">2020-12-12T19:14:03Z</dcterms:modified>
  <cp:category/>
  <cp:version/>
  <cp:contentType/>
  <cp:contentStatus/>
</cp:coreProperties>
</file>