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e47a6296c28d37af/Exel Programme/Pensioun/"/>
    </mc:Choice>
  </mc:AlternateContent>
  <xr:revisionPtr revIDLastSave="12" documentId="8_{0CEF44AC-F3C0-4AD6-9194-57C5A57B235F}" xr6:coauthVersionLast="47" xr6:coauthVersionMax="47" xr10:uidLastSave="{6873D435-ADBE-4BFD-8B4E-024007FC05B7}"/>
  <bookViews>
    <workbookView xWindow="-120" yWindow="-120" windowWidth="29040" windowHeight="15720" tabRatio="924" activeTab="2" xr2:uid="{00000000-000D-0000-FFFF-FFFF00000000}"/>
  </bookViews>
  <sheets>
    <sheet name="Start" sheetId="8" r:id="rId1"/>
    <sheet name="Rente alle Jahreseinkommen" sheetId="9" r:id="rId2"/>
    <sheet name="Rente Berechnung" sheetId="10" r:id="rId3"/>
    <sheet name="Rente Taux" sheetId="11" r:id="rId4"/>
    <sheet name="Bulletin de salaire" sheetId="1" r:id="rId5"/>
    <sheet name="Steuermodul 2024" sheetId="2" r:id="rId6"/>
    <sheet name="Credit d impot salaries 2017" sheetId="3" r:id="rId7"/>
    <sheet name="CIEnergie 07.2022-4.2023" sheetId="5" r:id="rId8"/>
    <sheet name="CIC2023" sheetId="6" r:id="rId9"/>
    <sheet name="CI-CO2" sheetId="7" r:id="rId10"/>
    <sheet name="DailyCheck" sheetId="4" r:id="rId11"/>
  </sheets>
  <externalReferences>
    <externalReference r:id="rId12"/>
  </externalReferences>
  <definedNames>
    <definedName name="_xlnm.Print_Area" localSheetId="4">'Bulletin de salaire'!$A$1:$G$61</definedName>
    <definedName name="_xlnm.Print_Area" localSheetId="10">DailyCheck!$B$6:$D$25</definedName>
    <definedName name="Imposable">'Bulletin de salaire'!#REF!</definedName>
    <definedName name="Rp">'Bulletin de salaire'!#REF!</definedName>
    <definedName name="vonpensioufirzeloeschen">'[1]calcul '!$F$28</definedName>
  </definedNames>
  <calcPr calcId="191029"/>
</workbook>
</file>

<file path=xl/calcChain.xml><?xml version="1.0" encoding="utf-8"?>
<calcChain xmlns="http://schemas.openxmlformats.org/spreadsheetml/2006/main">
  <c r="C68" i="1" l="1"/>
  <c r="F2" i="1"/>
  <c r="F21" i="10"/>
  <c r="F20" i="10"/>
  <c r="E20" i="10"/>
  <c r="I36" i="8"/>
  <c r="K21" i="10" l="1"/>
  <c r="M21" i="10" s="1"/>
  <c r="B26" i="2"/>
  <c r="D58" i="9" l="1"/>
  <c r="D57" i="9"/>
  <c r="E57" i="9" s="1"/>
  <c r="F57" i="9" s="1"/>
  <c r="H57" i="9" s="1"/>
  <c r="F19" i="10"/>
  <c r="F34" i="10" s="1"/>
  <c r="F17" i="10"/>
  <c r="F15" i="10"/>
  <c r="F14" i="10"/>
  <c r="E10" i="10"/>
  <c r="F16" i="10"/>
  <c r="F37" i="10"/>
  <c r="F39" i="10"/>
  <c r="F70" i="9"/>
  <c r="H70" i="9" s="1"/>
  <c r="E70" i="9"/>
  <c r="F69" i="9"/>
  <c r="H69" i="9" s="1"/>
  <c r="E69" i="9"/>
  <c r="H68" i="9"/>
  <c r="F68" i="9"/>
  <c r="E68" i="9"/>
  <c r="H67" i="9"/>
  <c r="F67" i="9"/>
  <c r="E67" i="9"/>
  <c r="F66" i="9"/>
  <c r="H66" i="9" s="1"/>
  <c r="E66" i="9"/>
  <c r="F65" i="9"/>
  <c r="H65" i="9" s="1"/>
  <c r="E65" i="9"/>
  <c r="H64" i="9"/>
  <c r="F64" i="9"/>
  <c r="E64" i="9"/>
  <c r="H63" i="9"/>
  <c r="F63" i="9"/>
  <c r="E63" i="9"/>
  <c r="F62" i="9"/>
  <c r="H62" i="9" s="1"/>
  <c r="E62" i="9"/>
  <c r="F61" i="9"/>
  <c r="H61" i="9" s="1"/>
  <c r="E61" i="9"/>
  <c r="H60" i="9"/>
  <c r="F60" i="9"/>
  <c r="E60" i="9"/>
  <c r="H59" i="9"/>
  <c r="F59" i="9"/>
  <c r="E59" i="9"/>
  <c r="E58" i="9"/>
  <c r="F58" i="9" s="1"/>
  <c r="H58" i="9" s="1"/>
  <c r="F56" i="9"/>
  <c r="H56" i="9" s="1"/>
  <c r="E56" i="9"/>
  <c r="F55" i="9"/>
  <c r="H55" i="9" s="1"/>
  <c r="E55" i="9"/>
  <c r="F54" i="9"/>
  <c r="H54" i="9" s="1"/>
  <c r="E54" i="9"/>
  <c r="F53" i="9"/>
  <c r="H53" i="9" s="1"/>
  <c r="E53" i="9"/>
  <c r="F52" i="9"/>
  <c r="H52" i="9" s="1"/>
  <c r="E52" i="9"/>
  <c r="F51" i="9"/>
  <c r="H51" i="9" s="1"/>
  <c r="E51" i="9"/>
  <c r="F50" i="9"/>
  <c r="H50" i="9" s="1"/>
  <c r="E50" i="9"/>
  <c r="F49" i="9"/>
  <c r="H49" i="9" s="1"/>
  <c r="E49" i="9"/>
  <c r="F48" i="9"/>
  <c r="H48" i="9" s="1"/>
  <c r="E48" i="9"/>
  <c r="F47" i="9"/>
  <c r="H47" i="9" s="1"/>
  <c r="E47" i="9"/>
  <c r="F46" i="9"/>
  <c r="H46" i="9" s="1"/>
  <c r="E46" i="9"/>
  <c r="F45" i="9"/>
  <c r="H45" i="9" s="1"/>
  <c r="E45" i="9"/>
  <c r="F44" i="9"/>
  <c r="H44" i="9" s="1"/>
  <c r="E44" i="9"/>
  <c r="F43" i="9"/>
  <c r="H43" i="9" s="1"/>
  <c r="E43" i="9"/>
  <c r="F42" i="9"/>
  <c r="H42" i="9" s="1"/>
  <c r="E42" i="9"/>
  <c r="F41" i="9"/>
  <c r="H41" i="9" s="1"/>
  <c r="E41" i="9"/>
  <c r="F40" i="9"/>
  <c r="H40" i="9" s="1"/>
  <c r="E40" i="9"/>
  <c r="H39" i="9"/>
  <c r="F39" i="9"/>
  <c r="E39" i="9"/>
  <c r="F38" i="9"/>
  <c r="H38" i="9" s="1"/>
  <c r="E38" i="9"/>
  <c r="F37" i="9"/>
  <c r="H37" i="9" s="1"/>
  <c r="E37" i="9"/>
  <c r="F36" i="9"/>
  <c r="H36" i="9" s="1"/>
  <c r="E36" i="9"/>
  <c r="F35" i="9"/>
  <c r="H35" i="9" s="1"/>
  <c r="E35" i="9"/>
  <c r="F34" i="9"/>
  <c r="H34" i="9" s="1"/>
  <c r="E34" i="9"/>
  <c r="F33" i="9"/>
  <c r="H33" i="9" s="1"/>
  <c r="E33" i="9"/>
  <c r="F32" i="9"/>
  <c r="H32" i="9" s="1"/>
  <c r="E32" i="9"/>
  <c r="F31" i="9"/>
  <c r="H31" i="9" s="1"/>
  <c r="E31" i="9"/>
  <c r="F30" i="9"/>
  <c r="H30" i="9" s="1"/>
  <c r="E30" i="9"/>
  <c r="F29" i="9"/>
  <c r="H29" i="9" s="1"/>
  <c r="E29" i="9"/>
  <c r="F28" i="9"/>
  <c r="H28" i="9" s="1"/>
  <c r="E28" i="9"/>
  <c r="F27" i="9"/>
  <c r="H27" i="9" s="1"/>
  <c r="E27" i="9"/>
  <c r="F26" i="9"/>
  <c r="H26" i="9" s="1"/>
  <c r="E26" i="9"/>
  <c r="F25" i="9"/>
  <c r="H25" i="9" s="1"/>
  <c r="E25" i="9"/>
  <c r="F24" i="9"/>
  <c r="H24" i="9" s="1"/>
  <c r="E24" i="9"/>
  <c r="F23" i="9"/>
  <c r="H23" i="9" s="1"/>
  <c r="E23" i="9"/>
  <c r="F22" i="9"/>
  <c r="H22" i="9" s="1"/>
  <c r="E22" i="9"/>
  <c r="F21" i="9"/>
  <c r="H21" i="9" s="1"/>
  <c r="E21" i="9"/>
  <c r="F20" i="9"/>
  <c r="H20" i="9" s="1"/>
  <c r="E20" i="9"/>
  <c r="F19" i="9"/>
  <c r="H19" i="9" s="1"/>
  <c r="E19" i="9"/>
  <c r="F18" i="9"/>
  <c r="H18" i="9" s="1"/>
  <c r="E18" i="9"/>
  <c r="F17" i="9"/>
  <c r="H17" i="9" s="1"/>
  <c r="E17" i="9"/>
  <c r="H16" i="9"/>
  <c r="F16" i="9"/>
  <c r="E16" i="9"/>
  <c r="H15" i="9"/>
  <c r="F15" i="9"/>
  <c r="E15" i="9"/>
  <c r="H14" i="9"/>
  <c r="F14" i="9"/>
  <c r="E14" i="9"/>
  <c r="H13" i="9"/>
  <c r="F13" i="9"/>
  <c r="E13" i="9"/>
  <c r="H12" i="9"/>
  <c r="F12" i="9"/>
  <c r="E12" i="9"/>
  <c r="H11" i="9"/>
  <c r="F11" i="9"/>
  <c r="E11" i="9"/>
  <c r="H10" i="9"/>
  <c r="F10" i="9"/>
  <c r="E10" i="9"/>
  <c r="H9" i="9"/>
  <c r="F9" i="9"/>
  <c r="E9" i="9"/>
  <c r="H8" i="9"/>
  <c r="F8" i="9"/>
  <c r="E8" i="9"/>
  <c r="H7" i="9"/>
  <c r="F7" i="9"/>
  <c r="E7" i="9"/>
  <c r="H6" i="9"/>
  <c r="F6" i="9"/>
  <c r="E6" i="9"/>
  <c r="H5" i="9"/>
  <c r="F5" i="9"/>
  <c r="E5" i="9"/>
  <c r="H4" i="9"/>
  <c r="F4" i="9"/>
  <c r="E4"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H3" i="9"/>
  <c r="F3" i="9"/>
  <c r="E3" i="9"/>
  <c r="A3" i="9"/>
  <c r="H2" i="9"/>
  <c r="F2" i="9"/>
  <c r="E2" i="9"/>
  <c r="A2" i="9"/>
  <c r="F13" i="1"/>
  <c r="F14" i="1" s="1"/>
  <c r="F22" i="1" s="1"/>
  <c r="G22" i="1" s="1"/>
  <c r="B13" i="2"/>
  <c r="G59" i="1"/>
  <c r="G50" i="1"/>
  <c r="F18" i="10" l="1"/>
  <c r="I32" i="9"/>
  <c r="I40" i="9"/>
  <c r="I48" i="9"/>
  <c r="I56" i="9"/>
  <c r="I21" i="9"/>
  <c r="I29" i="9"/>
  <c r="I61" i="9"/>
  <c r="I26" i="9"/>
  <c r="I38" i="9"/>
  <c r="I64" i="9"/>
  <c r="I33" i="9"/>
  <c r="I41" i="9"/>
  <c r="I49" i="9"/>
  <c r="I57" i="9"/>
  <c r="I22" i="9"/>
  <c r="I30" i="9"/>
  <c r="I53" i="9"/>
  <c r="I69" i="9"/>
  <c r="I55" i="9"/>
  <c r="I28" i="9"/>
  <c r="I65" i="9"/>
  <c r="I34" i="9"/>
  <c r="I42" i="9"/>
  <c r="I50" i="9"/>
  <c r="I58" i="9"/>
  <c r="I23" i="9"/>
  <c r="I31" i="9"/>
  <c r="I37" i="9"/>
  <c r="I62" i="9"/>
  <c r="I27" i="9"/>
  <c r="I70" i="9"/>
  <c r="I66" i="9"/>
  <c r="I35" i="9"/>
  <c r="I43" i="9"/>
  <c r="I51" i="9"/>
  <c r="I59" i="9"/>
  <c r="I24" i="9"/>
  <c r="I20" i="9"/>
  <c r="I45" i="9"/>
  <c r="I46" i="9"/>
  <c r="I39" i="9"/>
  <c r="I63" i="9"/>
  <c r="I67" i="9"/>
  <c r="I36" i="9"/>
  <c r="I44" i="9"/>
  <c r="I52" i="9"/>
  <c r="I60" i="9"/>
  <c r="I25" i="9"/>
  <c r="I19" i="9"/>
  <c r="I68" i="9"/>
  <c r="I54" i="9"/>
  <c r="I47" i="9"/>
  <c r="F35" i="10"/>
  <c r="F23" i="10"/>
  <c r="H72" i="9"/>
  <c r="F8" i="10" s="1"/>
  <c r="F10" i="10" s="1"/>
  <c r="F72" i="9"/>
  <c r="D8" i="1"/>
  <c r="E11" i="1" s="1"/>
  <c r="G4" i="1"/>
  <c r="F3" i="1" s="1"/>
  <c r="N25" i="1"/>
  <c r="F6" i="1" s="1"/>
  <c r="G51" i="1" s="1"/>
  <c r="D8" i="4"/>
  <c r="D9" i="4"/>
  <c r="D10" i="4"/>
  <c r="D11" i="4"/>
  <c r="D12" i="4"/>
  <c r="D13" i="4"/>
  <c r="D14" i="4"/>
  <c r="D15" i="4"/>
  <c r="D16" i="4"/>
  <c r="D17" i="4"/>
  <c r="D18" i="4"/>
  <c r="D19" i="4"/>
  <c r="D20" i="4"/>
  <c r="D21" i="4"/>
  <c r="D22" i="4"/>
  <c r="D23" i="4"/>
  <c r="D24" i="4"/>
  <c r="D25" i="4"/>
  <c r="D7" i="4"/>
  <c r="I13" i="1"/>
  <c r="E6"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40" i="1"/>
  <c r="G40" i="1" s="1"/>
  <c r="AO48" i="1"/>
  <c r="C69" i="1"/>
  <c r="F24" i="10" l="1"/>
  <c r="F25" i="10" s="1"/>
  <c r="F38" i="10" s="1"/>
  <c r="F40" i="10" s="1"/>
  <c r="D69" i="1"/>
  <c r="F64" i="1"/>
  <c r="F65" i="1"/>
  <c r="F63" i="1"/>
  <c r="G42" i="1"/>
  <c r="G41" i="1"/>
  <c r="G38" i="1"/>
  <c r="G39" i="1"/>
  <c r="G44" i="1"/>
  <c r="F11" i="1"/>
  <c r="F27" i="10" l="1"/>
  <c r="F28" i="10" s="1"/>
  <c r="G65" i="1"/>
  <c r="H65" i="1" s="1"/>
  <c r="F35" i="1" s="1"/>
  <c r="G35" i="1" s="1"/>
  <c r="G64" i="1"/>
  <c r="H64" i="1" s="1"/>
  <c r="G66" i="1"/>
  <c r="H66" i="1" s="1"/>
  <c r="F32" i="1"/>
  <c r="G32" i="1" s="1"/>
  <c r="F37" i="1"/>
  <c r="G37" i="1" s="1"/>
  <c r="C66" i="1"/>
  <c r="F12" i="1"/>
  <c r="F21" i="1"/>
  <c r="G21" i="1" s="1"/>
  <c r="G13" i="1"/>
  <c r="F20" i="1"/>
  <c r="G20" i="1" s="1"/>
  <c r="F15" i="1"/>
  <c r="G15" i="1" s="1"/>
  <c r="F19" i="1"/>
  <c r="G19" i="1" s="1"/>
  <c r="F34" i="1"/>
  <c r="G34" i="1" s="1"/>
  <c r="F33" i="1"/>
  <c r="G33" i="1" s="1"/>
  <c r="C5" i="3"/>
  <c r="F31" i="1"/>
  <c r="G31" i="1" s="1"/>
  <c r="G11" i="1"/>
  <c r="F30" i="10" l="1"/>
  <c r="C16" i="2"/>
  <c r="C17" i="2" s="1"/>
  <c r="C67" i="1"/>
  <c r="F24" i="1"/>
  <c r="G24" i="1" s="1"/>
  <c r="G14" i="1"/>
  <c r="F23" i="1"/>
  <c r="G23" i="1" s="1"/>
  <c r="E5" i="3"/>
  <c r="C7" i="3" s="1"/>
  <c r="G56" i="1" s="1"/>
  <c r="E7" i="3"/>
  <c r="G12" i="1"/>
  <c r="F17" i="1"/>
  <c r="G17" i="1" s="1"/>
  <c r="F16" i="1"/>
  <c r="G16" i="1" s="1"/>
  <c r="F18" i="1"/>
  <c r="G18" i="1" s="1"/>
  <c r="C26" i="2" l="1"/>
  <c r="C20" i="2"/>
  <c r="C23" i="2"/>
  <c r="C21" i="2"/>
  <c r="B27" i="2" s="1"/>
  <c r="F29" i="10" s="1"/>
  <c r="F32" i="10" s="1"/>
  <c r="C19" i="2"/>
  <c r="C24" i="2"/>
  <c r="C22" i="2"/>
  <c r="F36" i="1"/>
  <c r="G36" i="1" s="1"/>
  <c r="F28" i="1"/>
  <c r="G28" i="1" s="1"/>
  <c r="F27" i="1"/>
  <c r="G27" i="1" s="1"/>
  <c r="F25" i="1"/>
  <c r="G25" i="1" s="1"/>
  <c r="F26" i="1"/>
  <c r="G26" i="1" s="1"/>
  <c r="F30" i="1"/>
  <c r="G30" i="1" s="1"/>
  <c r="F29" i="1"/>
  <c r="G29" i="1" s="1"/>
  <c r="G43" i="1" l="1"/>
  <c r="E49" i="1"/>
  <c r="G49" i="1" s="1"/>
  <c r="B12" i="7" l="1"/>
  <c r="C5" i="7" s="1"/>
  <c r="B12" i="6"/>
  <c r="C9" i="6" s="1"/>
  <c r="D47" i="1"/>
  <c r="G47" i="1" s="1"/>
  <c r="C12" i="5"/>
  <c r="D48" i="1"/>
  <c r="G48" i="1" s="1"/>
  <c r="D46" i="1"/>
  <c r="G46" i="1" s="1"/>
  <c r="C2" i="6" l="1"/>
  <c r="C3" i="6"/>
  <c r="C5" i="6"/>
  <c r="C7" i="6"/>
  <c r="C4" i="6"/>
  <c r="C4" i="7"/>
  <c r="C6" i="6"/>
  <c r="C8" i="6"/>
  <c r="E14" i="5"/>
  <c r="C14" i="5"/>
  <c r="G52" i="1"/>
  <c r="C3" i="2" s="1"/>
  <c r="C4" i="2" s="1"/>
  <c r="D52" i="1"/>
  <c r="G45" i="1"/>
  <c r="C8" i="2" l="1"/>
  <c r="C7" i="2"/>
  <c r="C6" i="2"/>
  <c r="B13" i="7"/>
  <c r="G57" i="1" s="1"/>
  <c r="B13" i="6"/>
  <c r="C9" i="2"/>
  <c r="C13" i="2"/>
  <c r="C10" i="2"/>
  <c r="C11" i="2"/>
  <c r="B14" i="2" l="1"/>
  <c r="G53" i="1" s="1"/>
  <c r="G54" i="1" s="1"/>
  <c r="G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Fränk Siebenaller</author>
  </authors>
  <commentList>
    <comment ref="D57" authorId="0" shapeId="0" xr:uid="{79F35A89-32B9-4408-AEB6-A8687A2F5CB1}">
      <text>
        <r>
          <rPr>
            <b/>
            <sz val="9"/>
            <color indexed="81"/>
            <rFont val="Segoe UI"/>
            <family val="2"/>
          </rPr>
          <t>Fränk Siebenaller:</t>
        </r>
        <r>
          <rPr>
            <sz val="9"/>
            <color indexed="81"/>
            <rFont val="Segoe UI"/>
            <family val="2"/>
          </rPr>
          <t xml:space="preserve">
vert= calculé par 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Fränk Siebenaller</author>
    <author/>
  </authors>
  <commentList>
    <comment ref="B19" authorId="0" shapeId="0" xr:uid="{9A34413F-9919-44F0-BED8-26BAFD7BB450}">
      <text>
        <r>
          <rPr>
            <b/>
            <sz val="9"/>
            <color indexed="81"/>
            <rFont val="Segoe UI"/>
            <family val="2"/>
          </rPr>
          <t>Fränk Siebenaller:</t>
        </r>
        <r>
          <rPr>
            <sz val="9"/>
            <color indexed="81"/>
            <rFont val="Segoe UI"/>
            <family val="2"/>
          </rPr>
          <t xml:space="preserve">
Concernant la revalorisation au moment de l’attribution de la pension, la loi dispose que les pensions dont le début du droit se situe avant le 1er janvier 2014 sont multipliées par le facteur de revalorisation qui est fixé à 1,405. Les pensions dont le début du droit se situe après le 31 décembre 2013 sont multipliées par le facteur de revalorisation de la quatrième année précédant le début du droit à la pension. Ce facteur de revalorisation est fixé par règlement grand-ducal.
Concrètement, pour le calcul de la pension d’un assuré qui quitte la vie active en 2022, on applique le facteur de revalorisation de 2018 qui est fixé à 1,484.
PS: Den Wert hei funktionéiert réicht bei enger Berechnung ab 2017
</t>
        </r>
      </text>
    </comment>
    <comment ref="B29" authorId="1" shapeId="0" xr:uid="{87CEF13D-F3C6-499D-B0D4-FA5577C6DE1D}">
      <text>
        <r>
          <rPr>
            <b/>
            <sz val="8"/>
            <color indexed="8"/>
            <rFont val="Tahoma"/>
            <family val="2"/>
          </rPr>
          <t>Selon barrème 
ou pour Fiche de retenue d'impôt additionnelle:
Classe1=33%
Classe1a=21%
Classe2=15%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Fränk Siebenaller</author>
  </authors>
  <commentList>
    <comment ref="E2" authorId="0" shapeId="0" xr:uid="{00000000-0006-0000-0000-000001000000}">
      <text>
        <r>
          <rPr>
            <b/>
            <sz val="8"/>
            <color indexed="8"/>
            <rFont val="Tahoma"/>
            <family val="2"/>
          </rPr>
          <t xml:space="preserve"> Paramètres pour calculer la rémunération
</t>
        </r>
        <r>
          <rPr>
            <sz val="8"/>
            <color indexed="8"/>
            <rFont val="Tahoma"/>
            <family val="2"/>
          </rPr>
          <t xml:space="preserve">
Les traitements, indemnités et salaires sont exprimés en points indiciaires.
La valeur annuelle de 100 points indiciaires est fixée par la loi modifiée du 22 juin 1963
 portant fixation de la valeur numérique des traitements des fonctionnaires de l'Etat,
valeur correspondant actuellement à 2647,94 euros pour les éléments non-pensionnables de la rémunération.
Par ailleurs, l'article 11 de la loi modifiée du 22 juin 1963 fixant le régime des traitements des fonctionnaires de l'Etat
 prévoit une adaptation périodique aux variations du coût de la vie. 
La valeur mensuelle actuelle d'un point indiciaire, adaptée à l'indice du coût de la vie, correspond donc à
    2796,42 :100 : 12 x Indice = x euros (éléments pensionnables)
    2647,94 :100 : 12 x Indice = x euros (éléments non-pens.)
</t>
        </r>
      </text>
    </comment>
    <comment ref="F2" authorId="0" shapeId="0" xr:uid="{00000000-0006-0000-0000-000002000000}">
      <text>
        <r>
          <rPr>
            <b/>
            <sz val="8"/>
            <color indexed="8"/>
            <rFont val="Tahoma"/>
            <family val="2"/>
          </rPr>
          <t>à partir 1.04.2023</t>
        </r>
      </text>
    </comment>
    <comment ref="G4" authorId="0" shapeId="0" xr:uid="{00000000-0006-0000-0000-000003000000}">
      <text>
        <r>
          <rPr>
            <b/>
            <sz val="8"/>
            <color indexed="8"/>
            <rFont val="Tahoma"/>
            <family val="2"/>
          </rPr>
          <t xml:space="preserve">à partir 1.1.2018
</t>
        </r>
      </text>
    </comment>
    <comment ref="B5" authorId="0" shapeId="0" xr:uid="{00000000-0006-0000-0000-000004000000}">
      <text>
        <r>
          <rPr>
            <b/>
            <sz val="8"/>
            <color indexed="8"/>
            <rFont val="Tahoma"/>
            <family val="2"/>
          </rPr>
          <t>Selon barrème 
ou pour Fiche de retenue d'impôt additionnelle:
Classe1=33%
Classe1a=21%
Classe2=15%</t>
        </r>
      </text>
    </comment>
    <comment ref="B6" authorId="0" shapeId="0" xr:uid="{00000000-0006-0000-0000-000005000000}">
      <text>
        <r>
          <rPr>
            <sz val="8"/>
            <color indexed="8"/>
            <rFont val="Tahoma"/>
            <family val="2"/>
          </rPr>
          <t>à partir du 1/1/2013:
Modification de la loi modifiée du 4 décembre 1967
concernant l’impôt sur le revenu
Le montant de la déduction forfaitaire est fixé comme suit: Lorsque l’éloignement entre les chefs-lieux (ou sièges) dépasse 4 unités sans dépasser 30 unités d’éloignement, la déduction forfaitaire pour frais de déplacement est à compter à concurrence de 99 euros par unité d’éloignement.
Les 4 premières unités d’éloignement ne sont pas prises en compte et la déduction forfaitaire pour un éloignement dépassant 30 unités d’éloignement est limitée à 2.574 euros.
En cas de modification de la situation du contribuable par suite de changement de son domicile ou de son lieu de travail, la nouvelle situation n’est prise en considération que s’il en résulte un accroissement du nombre des unités d’éloignement. Dans ce cas, la modification de la déduction forfaitaire prend effet à partir du début du mois où intervient l’événement de changement de la situation.
Lorsque l’assujettissement du contribuable à l’impôt n’a pas existé durant toute l’année, la déduction forfaitaire se réduit au douzième de son montant par mois entier d’assujettissement.</t>
        </r>
      </text>
    </comment>
    <comment ref="C6" authorId="0" shapeId="0" xr:uid="{00000000-0006-0000-0000-000006000000}">
      <text>
        <r>
          <rPr>
            <sz val="8"/>
            <color indexed="8"/>
            <rFont val="Tahoma"/>
            <family val="2"/>
          </rPr>
          <t>Introduise les kilométres en veillant que l'abattement FD correspont avec ton bulletin de salaire ou ta fiche d'impôt.</t>
        </r>
      </text>
    </comment>
    <comment ref="E8" authorId="0" shapeId="0" xr:uid="{00000000-0006-0000-0000-000007000000}">
      <text>
        <r>
          <rPr>
            <b/>
            <sz val="8"/>
            <color indexed="8"/>
            <rFont val="Tahoma"/>
            <family val="2"/>
          </rPr>
          <t xml:space="preserve">Horaire mensuel est
</t>
        </r>
        <r>
          <rPr>
            <sz val="8"/>
            <color indexed="8"/>
            <rFont val="Tahoma"/>
            <family val="2"/>
          </rPr>
          <t>-pareil pour chaque mois
-calcul: 365,25 -samedis -dimanches -jours feriés, le tout divisé par 12 et multiplié par le nombre des heures à travailler par jour (7,6)
-depuis le 1.1.2000 l'horaire mensuel est fixé à 164,35 heures</t>
        </r>
      </text>
    </comment>
    <comment ref="E11" authorId="0" shapeId="0" xr:uid="{00000000-0006-0000-0000-000008000000}">
      <text>
        <r>
          <rPr>
            <b/>
            <sz val="8"/>
            <color indexed="8"/>
            <rFont val="Tahoma"/>
            <family val="2"/>
          </rPr>
          <t>= horaire mensuel - heures congés et heures de formations etc</t>
        </r>
      </text>
    </comment>
    <comment ref="B12" authorId="0" shapeId="0" xr:uid="{00000000-0006-0000-0000-000009000000}">
      <text>
        <r>
          <rPr>
            <b/>
            <u/>
            <sz val="8"/>
            <color indexed="8"/>
            <rFont val="Tahoma"/>
            <family val="2"/>
          </rPr>
          <t xml:space="preserve">CCT 24/6/2019 article 8 B). indemnités permanance. Page 16
</t>
        </r>
        <r>
          <rPr>
            <sz val="8"/>
            <color indexed="8"/>
            <rFont val="Tahoma"/>
            <family val="2"/>
          </rPr>
          <t xml:space="preserve">Le taux horaire de base de l’indemnité "permanence" est de 0,4276 € indice 100 (valeur du point au 01.01.2018).
- pour accessibilité le jour entre 8 heures et 18 heures:
 pour le seuil 1 (accessibilité en 10 minutes): taux horaire "permanence" de base x 125%,
17 |CCT FHL
 pour le seuil 2 (accessibilité en 30 minutes): taux horaire "permanence" de base x 100%,
 pour le seuil 3 (accessibilité en 60 minutes): taux horaire "permanence" de base x 50%,
 pour le seuil 4 (accessibilité en 240 minutes): taux horaire "permanence" de base x 25%.
- pour accessibilité la nuit entre 18 heures et 8 heures du lendemain matin un supplément de 20% est
dû qui s’ajoute à l'indemnité pour accessibilité le jour.
- pour accessibilité le dimanche entre 6 heures du dimanche matin et 6 heures du lundi matin un
supplément de 70% est dû qui s’ajoute à l'indemnité pour accessibilité le jour.
- pour accessibilité le jour férié légal entre 6 heures du matin du jour férié et 6 heures du lendemain
matin un supplément de 100% est dû qui s’ajoute à l'indemnité pour accessibilité le jour.
Les suppléments accordés sont cumulables.
En cas de changement de la valeur du point indiciaire définie à l'article 13 de la présente convention, les
taux horaires des indemnités qui précèdent, seront adaptés dans la même proportion. Les heures de
travail prestées par les salariés au cours des services de permanence donnent lieu aux suppléments
prévus dans la présente convention.
</t>
        </r>
        <r>
          <rPr>
            <b/>
            <sz val="8"/>
            <color indexed="8"/>
            <rFont val="Tahoma"/>
            <family val="2"/>
          </rPr>
          <t xml:space="preserve">
Commentaire FS : la valeur du point indiciaire définie à l'article 13 de la présente convention = =2,4173333*8,144(index) = 19,686762€(1.2018)
Valeur 1hrs permS2 1.1.2018=3,4823
Formule pour le calcule d'une heure permanance s2:
(Valeur 1hrs permS2 1.2018)*(evaluation de la valeur du point(valeur actuel/valeur1.2018))</t>
        </r>
      </text>
    </comment>
    <comment ref="B25" authorId="0" shapeId="0" xr:uid="{00000000-0006-0000-0000-00000A000000}">
      <text>
        <r>
          <rPr>
            <b/>
            <sz val="8"/>
            <color indexed="8"/>
            <rFont val="Tahoma"/>
            <family val="2"/>
          </rPr>
          <t xml:space="preserve">CCT: Article 17
 calcul des suppléments pour travail de nuit, de dimanche et de jour férié légal.
17 A). définition du salaire horaire
</t>
        </r>
        <r>
          <rPr>
            <sz val="8"/>
            <color indexed="8"/>
            <rFont val="Tahoma"/>
            <family val="2"/>
          </rPr>
          <t xml:space="preserve">17 A).1. formule
Le salaire horaire est défini selon la formule suivante:
SM = Salaire mensuel de base; (cf. article 13 a) )
SF = Supplément pour allocation de famille;
IP = Indemnité pour service de permanence;
Y = Somme des 3 éléments qui précèdent
(SM+SF+IP);
DTMT = durée de travail mensuelle théorique en vigueur
Y = SH ( salaire horaire)
DTMT
17 A).2. durée de travail mensuelle théorique
La durée de travail mensuelle théorique est de 164,35 heures.
</t>
        </r>
        <r>
          <rPr>
            <b/>
            <sz val="8"/>
            <color indexed="8"/>
            <rFont val="Tahoma"/>
            <family val="2"/>
          </rPr>
          <t xml:space="preserve">17 B). supplément pour travail de dimanche
</t>
        </r>
        <r>
          <rPr>
            <sz val="8"/>
            <color indexed="8"/>
            <rFont val="Tahoma"/>
            <family val="2"/>
          </rPr>
          <t>Définition: Par travail de dimanche on entend le travail exécuté entre 6 heures du dimanche matin et 6
heures du lundi matin (HD). Le salarié a droit pour chaque heure travaillée le dimanche à son salaire
horaire conventionnel avec un supplément de 70%.
Formule de majoration: SH x HD x 1,7 = Z euros
Si les heures travaillées un dimanche sont compensées par un repos correspondant en semaine, le seul
supplément de 70% est dû:
F o r m u l e de supplément: SH x HD x 0,7 = Z euros</t>
        </r>
      </text>
    </comment>
    <comment ref="B26" authorId="0" shapeId="0" xr:uid="{00000000-0006-0000-0000-00000B000000}">
      <text>
        <r>
          <rPr>
            <b/>
            <sz val="8"/>
            <color indexed="8"/>
            <rFont val="Tahoma"/>
            <family val="2"/>
          </rPr>
          <t>17 C)</t>
        </r>
        <r>
          <rPr>
            <sz val="8"/>
            <color indexed="8"/>
            <rFont val="Tahoma"/>
            <family val="2"/>
          </rPr>
          <t>. supplément pour travail de jour férié légal
Définition: Par travail de jour férié légal on entend le travail exécuté entre 6 heures du matin du jour férié
légal et 6 heures du lendemain matin (HF).
Le salarié a droit à son salaire normal conventionnel pour toute la journée. Il a droit en outre:
1) à la rémunération des heures effectivement prestées,
2) à une majoration de 100% des heures de travail sub 1).
F o r m u l e de majoration: SH x HF x 2 = Z euros
Si le jour férié légal travaillé tombe sur un dimanche, les majorations sont cumulables :
Formule de majoration : SH x HF x 2,7 = Z euros
Si les heures travaillées un jour férié légal sont compensées par un repos correspondant payé en
semaine, seul est dû le supplément de 100% sur la rémunération des heures effectivement prestées:
F o r m u l e de supplément: SH x HF x 1= Z euros
Si les heures travaillées un jour férié légal tombant sur un dimanche sont compensées par un repos
correspondant à une journée de travail payé en semaine, seul est dû le supplément de 170% sur la
rémunération des heures effectivement prestées:
F o r m u l e de supplément: SH x HF x 1,7 = Z euros
Si les heures travaillées un jour férié légal tombant sur un dimanche sont compensées par un repos
correspondant à deux journées de travail payé en semaine, seul est dû le supplément de 70% sur la
rémunération des heures effectivement prestées:
F o r m u l e de supplément: SH x HF x 0,7 = Z euros
Indépendamment de leur conversion en jours de congé conventionnels selon les stipulations de l’article
11.A).2., les jours fériés légaux travaillés donneront droit aux suppléments pour travail de jour férié légal.</t>
        </r>
      </text>
    </comment>
    <comment ref="B27" authorId="0" shapeId="0" xr:uid="{00000000-0006-0000-0000-00000C000000}">
      <text>
        <r>
          <rPr>
            <b/>
            <sz val="8"/>
            <color indexed="8"/>
            <rFont val="Tahoma"/>
            <family val="2"/>
          </rPr>
          <t xml:space="preserve">17 D). supplément pour travail de nuit
</t>
        </r>
        <r>
          <rPr>
            <sz val="8"/>
            <color indexed="8"/>
            <rFont val="Tahoma"/>
            <family val="2"/>
          </rPr>
          <t>Définition: Le terme "nuit" s'étend de 22 heures au lendemain matin 6 heures. Des dérogations à cette
règle sont possibles en ce sens que le travail de nuit, rémunéré comme tel, peut être étendu au-delà des
heures travaillées entre 22 heures et 6 heures du lendemain matin (HN). Le salarié, a droit pour chaque
heure travaillée la nuit, à son salaire horaire conventionnel avec un supplément de 20%.
F o r m u l e de supplément: SH x HN x 0,2 = Z euros.
Remarque: Les heures travaillées la nuit d'un dimanche ou jour férié légal donnent droit au cumul des
suppléments ci-dessus.</t>
        </r>
      </text>
    </comment>
    <comment ref="B28" authorId="0" shapeId="0" xr:uid="{00000000-0006-0000-0000-00000D000000}">
      <text>
        <r>
          <rPr>
            <b/>
            <sz val="8"/>
            <color indexed="8"/>
            <rFont val="Tahoma"/>
            <family val="2"/>
          </rPr>
          <t xml:space="preserve">BARÈMES DE L’IMPÔT
page 6
Ministère d’État – Service Central de Législation – 2013 idem 2009 etc
</t>
        </r>
        <r>
          <rPr>
            <sz val="8"/>
            <color indexed="8"/>
            <rFont val="Tahoma"/>
            <family val="2"/>
          </rPr>
          <t xml:space="preserve"> 
1)a) Les suppléments de salaires alloués pour le travail de nuit, de dimanche et de jour férié sont exempts
d'impôt (sous certaines conditions et limites).Travail de nuit = prestation régulière de sept heures de
travail consécutives au moins, dont au minimum 3 heures se situent à l'intérieur d'un laps de temps
compris entre 22.00 heures du soir et 6.00 heures du matin.</t>
        </r>
      </text>
    </comment>
    <comment ref="B35" authorId="0" shapeId="0" xr:uid="{00000000-0006-0000-0000-00000E000000}">
      <text>
        <r>
          <rPr>
            <b/>
            <sz val="8"/>
            <color indexed="8"/>
            <rFont val="Tahoma"/>
            <family val="2"/>
          </rPr>
          <t>A Partir de janvier 2012, les 190 heures de congé légaux(25 jours) et les 76 heures de congé conventionnels(10 jours) sont payées de la même façon: Salaire de base + 25/35 de la moyenne suppléments des 3 derniers mois.
Pour definir le taux salarial, tu dois remplir le tableau en bas.</t>
        </r>
      </text>
    </comment>
    <comment ref="B36" authorId="1" shapeId="0" xr:uid="{00000000-0006-0000-0000-00000F000000}">
      <text>
        <r>
          <rPr>
            <sz val="9"/>
            <color indexed="81"/>
            <rFont val="Segoe UI"/>
            <family val="2"/>
          </rPr>
          <t>CCT page 34</t>
        </r>
      </text>
    </comment>
    <comment ref="B40" authorId="0" shapeId="0" xr:uid="{00000000-0006-0000-0000-000010000000}">
      <text>
        <r>
          <rPr>
            <b/>
            <sz val="8"/>
            <color indexed="8"/>
            <rFont val="Tahoma"/>
            <family val="2"/>
          </rPr>
          <t>-Seulement pour les salarié en service à la date du 1.3.2001
-A droit à l'allocation de famille: regardez CCT Article 20</t>
        </r>
      </text>
    </comment>
    <comment ref="F49" authorId="0" shapeId="0" xr:uid="{00000000-0006-0000-0000-000011000000}">
      <text>
        <r>
          <rPr>
            <b/>
            <sz val="8"/>
            <color indexed="8"/>
            <rFont val="Tahoma"/>
            <family val="2"/>
          </rPr>
          <t xml:space="preserve">à partir du 1.1.2007
</t>
        </r>
        <r>
          <rPr>
            <sz val="8"/>
            <color indexed="8"/>
            <rFont val="Tahoma"/>
            <family val="2"/>
          </rPr>
          <t xml:space="preserve">
</t>
        </r>
      </text>
    </comment>
    <comment ref="B50" authorId="1" shapeId="0" xr:uid="{00000000-0006-0000-0000-000012000000}">
      <text>
        <r>
          <rPr>
            <b/>
            <sz val="9"/>
            <color indexed="81"/>
            <rFont val="Tahoma"/>
            <family val="2"/>
          </rPr>
          <t>Abbattement conjoint, accordé par voie d'inscription d'un code «AC» sur la 1ère fiche de retenue d'impôt additionnelle du conjoint ayant le salaire le moins élevé.=460€</t>
        </r>
      </text>
    </comment>
    <comment ref="B52" authorId="0" shapeId="0" xr:uid="{00000000-0006-0000-0000-000013000000}">
      <text>
        <r>
          <rPr>
            <b/>
            <sz val="8"/>
            <color indexed="8"/>
            <rFont val="Tahoma"/>
            <family val="2"/>
          </rPr>
          <t>Imposable= Brut total- Suppl.Hrs D, F, N-Abattement FD-Cotisations+Contrib.Dépendance</t>
        </r>
      </text>
    </comment>
    <comment ref="B56" authorId="1" shapeId="0" xr:uid="{00000000-0006-0000-0000-000014000000}">
      <text>
        <r>
          <rPr>
            <sz val="9"/>
            <color indexed="81"/>
            <rFont val="Tahoma"/>
            <family val="2"/>
          </rPr>
          <t>En cas de travaile travail posté, le calcul du CIS n´est pas exact.</t>
        </r>
      </text>
    </comment>
    <comment ref="B58" authorId="1" shapeId="0" xr:uid="{00000000-0006-0000-0000-000015000000}">
      <text>
        <r>
          <rPr>
            <sz val="9"/>
            <color indexed="81"/>
            <rFont val="Segoe UI"/>
            <family val="2"/>
          </rPr>
          <t>à partir 7.2023 jusqu'au 31.12.2023</t>
        </r>
      </text>
    </comment>
    <comment ref="B59" authorId="0" shapeId="0" xr:uid="{00000000-0006-0000-0000-000016000000}">
      <text>
        <r>
          <rPr>
            <b/>
            <sz val="8"/>
            <color indexed="8"/>
            <rFont val="Tahoma"/>
            <family val="2"/>
          </rPr>
          <t>à payer seulement 1x/an au mois de mars</t>
        </r>
      </text>
    </comment>
    <comment ref="B61" authorId="0" shapeId="0" xr:uid="{00000000-0006-0000-0000-000017000000}">
      <text>
        <r>
          <rPr>
            <b/>
            <sz val="8"/>
            <color indexed="8"/>
            <rFont val="Tahoma"/>
            <family val="2"/>
          </rPr>
          <t xml:space="preserve">article 121-6 code du travail </t>
        </r>
      </text>
    </comment>
    <comment ref="C63" authorId="1" shapeId="0" xr:uid="{00000000-0006-0000-0000-000018000000}">
      <text>
        <r>
          <rPr>
            <b/>
            <sz val="9"/>
            <color indexed="81"/>
            <rFont val="Tahoma"/>
            <family val="2"/>
          </rPr>
          <t>= somme des supplèments pour Dimanche, Nuit et jours Feriés à la période .</t>
        </r>
        <r>
          <rPr>
            <sz val="9"/>
            <color indexed="81"/>
            <rFont val="Tahoma"/>
            <family val="2"/>
          </rPr>
          <t xml:space="preserve">
</t>
        </r>
      </text>
    </comment>
    <comment ref="B68" authorId="0" shapeId="0" xr:uid="{00000000-0006-0000-0000-000019000000}">
      <text>
        <r>
          <rPr>
            <b/>
            <sz val="8"/>
            <color indexed="8"/>
            <rFont val="Tahoma"/>
            <family val="2"/>
          </rPr>
          <t xml:space="preserve"> Assurence dépendance:
</t>
        </r>
        <r>
          <rPr>
            <sz val="8"/>
            <color indexed="8"/>
            <rFont val="Tahoma"/>
            <family val="2"/>
          </rPr>
          <t>Un salarié, qui travaille au moins 160 heures par mois, a droit à l'abattement intégral, c'est-à-dire à 1/4 du salaire social minimum.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Fränk</author>
  </authors>
  <commentList>
    <comment ref="B9" authorId="0" shapeId="0" xr:uid="{00000000-0006-0000-0100-000001000000}">
      <text>
        <r>
          <rPr>
            <sz val="8"/>
            <color indexed="81"/>
            <rFont val="Tahoma"/>
            <family val="2"/>
          </rPr>
          <t>fiche de retenue d'impôt additionnelle.Classe 1
à partir du 1/1/2013</t>
        </r>
      </text>
    </comment>
    <comment ref="B10" authorId="0" shapeId="0" xr:uid="{00000000-0006-0000-0100-000002000000}">
      <text>
        <r>
          <rPr>
            <b/>
            <sz val="8"/>
            <color indexed="81"/>
            <rFont val="Tahoma"/>
            <family val="2"/>
          </rPr>
          <t>fiche de retenue d'impôt additionnelle.Classe 1a</t>
        </r>
      </text>
    </comment>
    <comment ref="B11" authorId="0" shapeId="0" xr:uid="{00000000-0006-0000-0100-000003000000}">
      <text>
        <r>
          <rPr>
            <b/>
            <sz val="8"/>
            <color indexed="81"/>
            <rFont val="Tahoma"/>
            <family val="2"/>
          </rPr>
          <t>fiche de retenue d'impôt additionnelle.Classe 2</t>
        </r>
      </text>
    </comment>
    <comment ref="B22" authorId="0" shapeId="0" xr:uid="{6DFB78F5-11ED-427D-B196-66B67D7A0F0D}">
      <text>
        <r>
          <rPr>
            <sz val="8"/>
            <color indexed="81"/>
            <rFont val="Tahoma"/>
            <family val="2"/>
          </rPr>
          <t>fiche de retenue d'impôt additionnelle.Classe 1
à partir du 1/1/2013</t>
        </r>
      </text>
    </comment>
    <comment ref="B23" authorId="0" shapeId="0" xr:uid="{3B8FD342-1E40-4C52-8989-1D1CC916194B}">
      <text>
        <r>
          <rPr>
            <b/>
            <sz val="8"/>
            <color indexed="81"/>
            <rFont val="Tahoma"/>
            <family val="2"/>
          </rPr>
          <t>fiche de retenue d'impôt additionnelle.Classe 1a</t>
        </r>
      </text>
    </comment>
    <comment ref="B24" authorId="0" shapeId="0" xr:uid="{B380D76E-E070-4078-92EC-D50AEBD45E68}">
      <text>
        <r>
          <rPr>
            <b/>
            <sz val="8"/>
            <color indexed="81"/>
            <rFont val="Tahoma"/>
            <family val="2"/>
          </rPr>
          <t>fiche de retenue d'impôt additionnelle.Classe 2</t>
        </r>
      </text>
    </comment>
  </commentList>
</comments>
</file>

<file path=xl/sharedStrings.xml><?xml version="1.0" encoding="utf-8"?>
<sst xmlns="http://schemas.openxmlformats.org/spreadsheetml/2006/main" count="350" uniqueCount="231">
  <si>
    <t>Indice:</t>
  </si>
  <si>
    <t>Points:</t>
  </si>
  <si>
    <t>Valeur Point :</t>
  </si>
  <si>
    <t>Valeur Point indice 100 :</t>
  </si>
  <si>
    <t>Kilométres :</t>
  </si>
  <si>
    <t xml:space="preserve">             Déduction FD :</t>
  </si>
  <si>
    <t>lcgbhk@gmail.com</t>
  </si>
  <si>
    <t>1a</t>
  </si>
  <si>
    <t>Taux d'Occupation:</t>
  </si>
  <si>
    <t>Horaire mensuel</t>
  </si>
  <si>
    <t>Rubriques</t>
  </si>
  <si>
    <t>Nombre ou base</t>
  </si>
  <si>
    <t>Taux salarial</t>
  </si>
  <si>
    <t>Montants</t>
  </si>
  <si>
    <t>Rémunérat de base</t>
  </si>
  <si>
    <t>A10</t>
  </si>
  <si>
    <t>Service.Perm.Seuil 1 10 min (*1.25)</t>
  </si>
  <si>
    <t>A11</t>
  </si>
  <si>
    <t>Service.Perm.Seuil 2 30 min (*1  )</t>
  </si>
  <si>
    <t>A12</t>
  </si>
  <si>
    <t>Service.Perm.Seuil 3 60 min (*0.5 )</t>
  </si>
  <si>
    <t>A13</t>
  </si>
  <si>
    <t>Service.Perm.Seuil 4 240 min (*0.25)</t>
  </si>
  <si>
    <t>A14</t>
  </si>
  <si>
    <t>Service.Perm.Nuit S1 20 % 10min</t>
  </si>
  <si>
    <t>A15</t>
  </si>
  <si>
    <t>Service.Perm.Dim.S1 70 % 10min</t>
  </si>
  <si>
    <t>A16</t>
  </si>
  <si>
    <t>Service.Perm.J.F..S1 100 % 10min</t>
  </si>
  <si>
    <t>A24</t>
  </si>
  <si>
    <t>Service.Perm.Nuit S2 20 % 30min</t>
  </si>
  <si>
    <t>A25</t>
  </si>
  <si>
    <t>Service.Perm.Dim.S2 70 % 30min</t>
  </si>
  <si>
    <t>A26</t>
  </si>
  <si>
    <t>Service.Perm.J.F.S2  100 % 30min</t>
  </si>
  <si>
    <t>A34</t>
  </si>
  <si>
    <t>Service.Perm.Nuit S3 20 % 60min</t>
  </si>
  <si>
    <t>Fahrtkosten Mintestbetrag (0-4km):</t>
  </si>
  <si>
    <t>A35</t>
  </si>
  <si>
    <t>Service.Perm.Dim.S3 70 % 60min</t>
  </si>
  <si>
    <t>Betrag pro km zwischen 4 - 30km :</t>
  </si>
  <si>
    <t>A36</t>
  </si>
  <si>
    <t>Service.Perm.J.F.S3 100 % 60min</t>
  </si>
  <si>
    <t>Fahrtkosten ( FD ):</t>
  </si>
  <si>
    <t>SD2</t>
  </si>
  <si>
    <t>Suppl.Hrs Dimanche 70 %</t>
  </si>
  <si>
    <t>SF3</t>
  </si>
  <si>
    <t>Suppl.Hrs Ferie 100 %</t>
  </si>
  <si>
    <t>SN1</t>
  </si>
  <si>
    <t>Suppl.Hrs Nuit 20 %</t>
  </si>
  <si>
    <t>SD</t>
  </si>
  <si>
    <r>
      <t xml:space="preserve">Suppl.Hrs Dimanche 70 % </t>
    </r>
    <r>
      <rPr>
        <b/>
        <sz val="10"/>
        <rFont val="Arial"/>
        <family val="2"/>
      </rPr>
      <t>Im</t>
    </r>
    <r>
      <rPr>
        <sz val="10"/>
        <rFont val="Arial"/>
        <family val="2"/>
      </rPr>
      <t>posable</t>
    </r>
  </si>
  <si>
    <t>SF</t>
  </si>
  <si>
    <r>
      <t xml:space="preserve">Suppl.Hrs Ferie 100 % </t>
    </r>
    <r>
      <rPr>
        <b/>
        <sz val="10"/>
        <rFont val="Arial"/>
        <family val="2"/>
      </rPr>
      <t>Im</t>
    </r>
    <r>
      <rPr>
        <sz val="10"/>
        <rFont val="Arial"/>
        <family val="2"/>
      </rPr>
      <t>posable</t>
    </r>
  </si>
  <si>
    <t>SN2</t>
  </si>
  <si>
    <r>
      <t xml:space="preserve">Suppl.Hrs Nuit 20 % </t>
    </r>
    <r>
      <rPr>
        <b/>
        <sz val="10"/>
        <rFont val="Arial"/>
        <family val="2"/>
      </rPr>
      <t>Im</t>
    </r>
    <r>
      <rPr>
        <sz val="10"/>
        <rFont val="Arial"/>
        <family val="2"/>
      </rPr>
      <t>posable</t>
    </r>
  </si>
  <si>
    <t>L87</t>
  </si>
  <si>
    <t>Formation interne</t>
  </si>
  <si>
    <t>L89</t>
  </si>
  <si>
    <t>Formation externe</t>
  </si>
  <si>
    <t>L90</t>
  </si>
  <si>
    <t xml:space="preserve">Maladie </t>
  </si>
  <si>
    <t>€/hr estimé:</t>
  </si>
  <si>
    <t>L92</t>
  </si>
  <si>
    <t>Réunion Interne</t>
  </si>
  <si>
    <t>L98</t>
  </si>
  <si>
    <t>Congés</t>
  </si>
  <si>
    <t>x</t>
  </si>
  <si>
    <t>xxx</t>
  </si>
  <si>
    <t>xx</t>
  </si>
  <si>
    <t>Primes</t>
  </si>
  <si>
    <t>CA5</t>
  </si>
  <si>
    <t>Allocation Famille (25-29 )</t>
  </si>
  <si>
    <t>Chef (15,30, 45, 60)</t>
  </si>
  <si>
    <t>Habillement( 22.53 €)</t>
  </si>
  <si>
    <t>ALB</t>
  </si>
  <si>
    <t>Brut total</t>
  </si>
  <si>
    <t>Cotisations</t>
  </si>
  <si>
    <t>LDH</t>
  </si>
  <si>
    <t>Maladie Soins</t>
  </si>
  <si>
    <t>LDJ</t>
  </si>
  <si>
    <t>Maladie Espèces</t>
  </si>
  <si>
    <t>LCB</t>
  </si>
  <si>
    <t>Cotis. pension</t>
  </si>
  <si>
    <t>LCQ</t>
  </si>
  <si>
    <t>Contrib.Dépendance</t>
  </si>
  <si>
    <t>EFD</t>
  </si>
  <si>
    <t>Abattement FD</t>
  </si>
  <si>
    <t>LIM</t>
  </si>
  <si>
    <t>Impos.périodique</t>
  </si>
  <si>
    <t>LIV</t>
  </si>
  <si>
    <t>Impôt mensuel</t>
  </si>
  <si>
    <t>ALN</t>
  </si>
  <si>
    <t xml:space="preserve">Net total </t>
  </si>
  <si>
    <t>AVO</t>
  </si>
  <si>
    <t>Avance</t>
  </si>
  <si>
    <t>CIS</t>
  </si>
  <si>
    <t>Credit d'impôt salarié</t>
  </si>
  <si>
    <t>LNV</t>
  </si>
  <si>
    <t>Chambre des Salaries(31€)</t>
  </si>
  <si>
    <t>NET A PAYER</t>
  </si>
  <si>
    <t>Période</t>
  </si>
  <si>
    <t>3 iéme mois précédent</t>
  </si>
  <si>
    <t>2 iéme mois précédent</t>
  </si>
  <si>
    <t>1ier mois précédent</t>
  </si>
  <si>
    <t>une heure congé calculé</t>
  </si>
  <si>
    <t>salaire social minimum index 100:</t>
  </si>
  <si>
    <t>salaire social minimum</t>
  </si>
  <si>
    <t>Classe 1</t>
  </si>
  <si>
    <t>Classe 1a</t>
  </si>
  <si>
    <t>Classe 2</t>
  </si>
  <si>
    <t>Echelon de salaire</t>
  </si>
  <si>
    <t>Formule à appliquer</t>
  </si>
  <si>
    <t>*R-</t>
  </si>
  <si>
    <t>= classe</t>
  </si>
  <si>
    <t>Crédit d’impôt pour salariés (CIS)</t>
  </si>
  <si>
    <t>p 5146:</t>
  </si>
  <si>
    <t>http://www.impotsdirects.public.lu/content/dam/acd/fr/legislation/legi16/a274.pdf</t>
  </si>
  <si>
    <t>salaire brut mensuel:</t>
  </si>
  <si>
    <t>*12=</t>
  </si>
  <si>
    <t>CIS:</t>
  </si>
  <si>
    <t>Salaire</t>
  </si>
  <si>
    <t>EAC</t>
  </si>
  <si>
    <t>Abattement AC</t>
  </si>
  <si>
    <t>Contact programmateur:</t>
  </si>
  <si>
    <t>Calcuatrice pour le bulletin de salaire des employés du CCT de la FHL</t>
  </si>
  <si>
    <t>*13=</t>
  </si>
  <si>
    <t>Pécule de vacance+surprime=</t>
  </si>
  <si>
    <t>Tabelle pour le calcul des congés</t>
  </si>
  <si>
    <t>Supp DFN</t>
  </si>
  <si>
    <t>Supp HS</t>
  </si>
  <si>
    <t>Permanence</t>
  </si>
  <si>
    <t>S(p)</t>
  </si>
  <si>
    <t>Sm100</t>
  </si>
  <si>
    <t>Sm</t>
  </si>
  <si>
    <t>Tb</t>
  </si>
  <si>
    <t>Suppl.Hrs Dimanche 70 % Imposable</t>
  </si>
  <si>
    <t>Suppl.Hrs Ferie 100 % Imposable</t>
  </si>
  <si>
    <t>Suppl.Hrs Nuit 20 % Imposable</t>
  </si>
  <si>
    <t>total</t>
  </si>
  <si>
    <t>trvaillé:</t>
  </si>
  <si>
    <t xml:space="preserve">Classe Impôt                       1,2,1A,  : </t>
  </si>
  <si>
    <t>ou 15%,21%,33% ou X%:</t>
  </si>
  <si>
    <t xml:space="preserve">               oui=1 non=0:</t>
  </si>
  <si>
    <t>HS</t>
  </si>
  <si>
    <t>à partir 1.1.2023</t>
  </si>
  <si>
    <t>CRÉDIT D'IMPÔT ÉNERGIE (CIE) POUR L'ANNÉE D'IMPOSITION 2022</t>
  </si>
  <si>
    <t>Le crédit d'impôt énergie pour pensionné («CIE pensionné») est fixé comme suit pour une pension ou rente brute mensuelle se situant :</t>
  </si>
  <si>
    <t>de 78 euros à 3.667 euros, à 84 euros par mois,</t>
  </si>
  <si>
    <t>de 3.667 euros à 5.667 euros, à [84 - (pension/rente brute mensuelle - 3.667) x (8/2.000)] euros par mois,</t>
  </si>
  <si>
    <t>de 5.667 euros à 8.334 euros, à [76 - (pension/rente brute mensuelle - 5.667) x (76/2.667)] euros par mois</t>
  </si>
  <si>
    <t>Prime</t>
  </si>
  <si>
    <t>CIP:</t>
  </si>
  <si>
    <t>crédit d’impôt conjoncture</t>
  </si>
  <si>
    <t>de 1.125 euros à 1.250 euros, le CIC salarié s’élève à [(salaire brut mensuel – 1.125) x (4/125)] euros par mois,</t>
  </si>
  <si>
    <t>–</t>
  </si>
  <si>
    <t>de 1.250 euros à 2.100 euros, le CIC salarié s’élève à [(salaire brut mensuel – 1.250) x (3/850) + 4] euros par mois,</t>
  </si>
  <si>
    <t>de 2.100 euros à 4.600 euros, le CIC salarié s’élève à [(salaire brut mensuel – 2.100) x (37/2.500) + 7] euros par mois,</t>
  </si>
  <si>
    <t>de 4.600 euros à 9.500 euros, le CIC salarié s’élève à 44 euros par mois,</t>
  </si>
  <si>
    <t>de 9.500 euros à 9.925 euros, le CIC salarié s’élève à [(salaire brut mensuel – 9.500) x (4/425) + 44] euros par mois,</t>
  </si>
  <si>
    <t>de 9.925 euros à 14.175 euros, le CIC salarié s’élève à 48 euros par mois,</t>
  </si>
  <si>
    <t>de 14.175 euros à 14.916 euros, le CIC salarié s’élève à [(salaire brut mensuel – 14.175) x (3/356) + 48] euros par mois,</t>
  </si>
  <si>
    <t>supérieur à 14.916 euros, le CIC salarié s’élève à 54,25 euros par mois.</t>
  </si>
  <si>
    <t>CIC:</t>
  </si>
  <si>
    <t>CICo2:</t>
  </si>
  <si>
    <t>Credit d'impôt conjoncture</t>
  </si>
  <si>
    <t>Credit d'impôt CO2</t>
  </si>
  <si>
    <t>1.</t>
  </si>
  <si>
    <t>2.</t>
  </si>
  <si>
    <t>3.</t>
  </si>
  <si>
    <t>revenu</t>
  </si>
  <si>
    <t>moyenne annulle de l'échelle mobile</t>
  </si>
  <si>
    <t>coefficient de reduction à l' indice 100</t>
  </si>
  <si>
    <t>salaire annuel indice 100</t>
  </si>
  <si>
    <t>facteur de revalorisation à partir du 1.1.2013</t>
  </si>
  <si>
    <t>Allocation de fin d'année</t>
  </si>
  <si>
    <t xml:space="preserve">Pension de vieillesse / Alterspension </t>
  </si>
  <si>
    <t>Nom de l'assuré</t>
  </si>
  <si>
    <t>Age début de la pension</t>
  </si>
  <si>
    <t>Schmit</t>
  </si>
  <si>
    <t>Revenu indice 100/84 - Verdienst Index 100/84</t>
  </si>
  <si>
    <t>de - von</t>
  </si>
  <si>
    <t>bis - à</t>
  </si>
  <si>
    <t>Années</t>
  </si>
  <si>
    <t>Base 1984</t>
  </si>
  <si>
    <t>Extrait de pension</t>
  </si>
  <si>
    <t>Total  - Total</t>
  </si>
  <si>
    <t>Paramètres applicables aux pensions dont le début se situe en:</t>
  </si>
  <si>
    <t>Montant de référance</t>
  </si>
  <si>
    <t>Taux des majorations forfaitaires</t>
  </si>
  <si>
    <t>Taux des majorations proportionnelles</t>
  </si>
  <si>
    <t>Seuil applicable aux majorations proportionnelles</t>
  </si>
  <si>
    <t>Augmentation du taux des majorations proportionnelles par unité dépassant le seuil</t>
  </si>
  <si>
    <t>Taux de  majoration majoré</t>
  </si>
  <si>
    <t>Facteur de revalorisation</t>
  </si>
  <si>
    <t>Indice du coût de la vie</t>
  </si>
  <si>
    <t>Salaire social minimum mensuel</t>
  </si>
  <si>
    <t>Maximaler kotisierbarer Betrag für Pensionskasse= 5*SSM=</t>
  </si>
  <si>
    <t>Pro Jahr:</t>
  </si>
  <si>
    <t>Les formules de calcul</t>
  </si>
  <si>
    <t>Majorations forfaitaires:</t>
  </si>
  <si>
    <t>Les majorations proportionnelles</t>
  </si>
  <si>
    <t>Pension mens. Brute</t>
  </si>
  <si>
    <t>Cotisation c. de maldie</t>
  </si>
  <si>
    <t>Imposable</t>
  </si>
  <si>
    <t xml:space="preserve"> ou X%:</t>
  </si>
  <si>
    <t xml:space="preserve">Assurance dépendence </t>
  </si>
  <si>
    <t>Net - Netto</t>
  </si>
  <si>
    <t>La pension minimum brute :(= 90% du montant de référance)</t>
  </si>
  <si>
    <t>La pension maximum brute :(=5/6 du quintuple du montant de référence)</t>
  </si>
  <si>
    <t>allocation de fin d'année</t>
  </si>
  <si>
    <t>Pension brute annuelle</t>
  </si>
  <si>
    <t>Dernier revenu anuel brut - cotisation pension</t>
  </si>
  <si>
    <t>Pourcentage de la pension en relation avec le dernier revenu (-cotis.pension) en %</t>
  </si>
  <si>
    <t>année du début du droit à la pension</t>
  </si>
  <si>
    <t>majorations forfaitaires</t>
  </si>
  <si>
    <t>majorations proportionnelles</t>
  </si>
  <si>
    <t>Source</t>
  </si>
  <si>
    <t>taux(%)</t>
  </si>
  <si>
    <t>Taux (%)</t>
  </si>
  <si>
    <t>seuil</t>
  </si>
  <si>
    <t>augmentation(%)</t>
  </si>
  <si>
    <t>Zur Rentenberechnung</t>
  </si>
  <si>
    <t>Imposable Salaire:</t>
  </si>
  <si>
    <t>Imposable pension:</t>
  </si>
  <si>
    <t>Année du début de la pension</t>
  </si>
  <si>
    <t>Zum Tabellenblatt "Rente - alle Jahreseinkommen"</t>
  </si>
  <si>
    <t>Index:</t>
  </si>
  <si>
    <r>
      <rPr>
        <b/>
        <sz val="10"/>
        <rFont val="Arial"/>
        <family val="2"/>
      </rPr>
      <t>Vorwort zur Rentenberechnung</t>
    </r>
    <r>
      <rPr>
        <sz val="10"/>
        <rFont val="Arial"/>
        <family val="2"/>
      </rPr>
      <t xml:space="preserve">
Hallo und herzlich willkommen zu meinem Excel-Programm zur präzisen Berechnung der Altersrente. Mit diesem Tool kannst du deine zukünftige Rente bis auf den Euro genau berechnen und verschiedene Szenarien durchspielen, indem du zukünftige Renteneinzahlungen simulierst und deren Auswirkungen auf deine Rente nachvollziehst.
Bitte beachte jedoch, dass alle Berechnungen ohne Gewähr erfolgen. Sei daher vorsichtig, wenn du diese Zahlen für deine Lebensplanung heranziehst.
Um loszulegen, wähle zuerst das Tabellenblatt "Rente - alle Jahreseinkommen" aus und trage dort deine Jahresbeiträge an die Pensionskasse ein. Diese Angaben erhältst du in der Regel bis April des jeweiligen Jahres. Beachte, dass nur die Jahre berücksichtigt werden, die auf diesem Zettel aufgeführt sind; im Ausland gearbeitete Jahre sind nicht enthalten.
Anschließend wechselst du zum Tabellenblatt "Rente berechnen", wo du deine berechnete Rente – sowohl brutto als auch netto – einsehen kannst. Fülle einfach die entsprechenden weißen Felder mit den benötigten Daten aus.
Leider sind die benötigten Daten und Formeln zur Rentenberechnung oft nur schwer im Internet zu finden. Weder die entsprechenden Ministerien noch Gewerkschaften und Arbeiterkammern stellen diese Informationen transparent zur Verfügung. Es scheint fast, als ob uns absichtlich die Möglichkeit vorenthalten wird, unsere Rente selbst zu berechnen oder die zukünftigen Zahlungen zu kontrollieren.
Deshalb sind in diesem Programm alle Daten und Formeln unverschlüsselt und für jeden frei zugänglich. Ich freue mich über jegliche Kritik oder Fehlermeldungen zu diesem Programm.
Vielen Dank und viel Erfolg bei der Berechnung!</t>
    </r>
  </si>
  <si>
    <r>
      <t xml:space="preserve">Hier kannst du nicht deine Rente sondern deinen </t>
    </r>
    <r>
      <rPr>
        <b/>
        <u/>
        <sz val="16"/>
        <color rgb="FF0000FF"/>
        <rFont val="Arial"/>
        <family val="2"/>
      </rPr>
      <t>Monatslohn</t>
    </r>
    <r>
      <rPr>
        <u/>
        <sz val="16"/>
        <color indexed="12"/>
        <rFont val="Arial"/>
        <family val="2"/>
      </rPr>
      <t xml:space="preserve"> nachrechnen</t>
    </r>
  </si>
  <si>
    <t xml:space="preserve"> 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</si>
</sst>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_-[$€-2]\ * #,##0.00_-;\-[$€-2]\ * #,##0.00_-;_-[$€-2]\ * \-??_-;_-@_-"/>
    <numFmt numFmtId="167" formatCode="_-[$€-2]\ * #,##0.00_-;\-[$€-2]\ * #,##0.00_-;_-[$€-2]\ * &quot;-&quot;??_-;_-@_-"/>
    <numFmt numFmtId="168" formatCode="0.000000"/>
    <numFmt numFmtId="169" formatCode="0.00000"/>
    <numFmt numFmtId="170" formatCode="#,##0.00\ &quot;€&quot;"/>
    <numFmt numFmtId="171" formatCode="0.000%"/>
  </numFmts>
  <fonts count="46" x14ac:knownFonts="1">
    <font>
      <sz val="10"/>
      <name val="Arial"/>
      <family val="2"/>
    </font>
    <font>
      <b/>
      <sz val="8"/>
      <color indexed="8"/>
      <name val="Tahoma"/>
      <family val="2"/>
    </font>
    <font>
      <sz val="8"/>
      <color indexed="8"/>
      <name val="Tahoma"/>
      <family val="2"/>
    </font>
    <font>
      <sz val="7"/>
      <name val="Arial"/>
      <family val="2"/>
    </font>
    <font>
      <b/>
      <u/>
      <sz val="10"/>
      <name val="Arial"/>
      <family val="2"/>
    </font>
    <font>
      <b/>
      <sz val="10"/>
      <name val="Arial"/>
      <family val="2"/>
    </font>
    <font>
      <u/>
      <sz val="8"/>
      <color indexed="12"/>
      <name val="Arial"/>
      <family val="2"/>
    </font>
    <font>
      <u/>
      <sz val="10"/>
      <color indexed="12"/>
      <name val="Arial"/>
      <family val="2"/>
    </font>
    <font>
      <b/>
      <sz val="10"/>
      <color indexed="9"/>
      <name val="Arial"/>
      <family val="2"/>
    </font>
    <font>
      <b/>
      <sz val="7"/>
      <color indexed="9"/>
      <name val="Arial"/>
      <family val="2"/>
    </font>
    <font>
      <b/>
      <u/>
      <sz val="8"/>
      <color indexed="8"/>
      <name val="Tahoma"/>
      <family val="2"/>
    </font>
    <font>
      <sz val="10"/>
      <color indexed="10"/>
      <name val="Arial"/>
      <family val="2"/>
    </font>
    <font>
      <sz val="9"/>
      <name val="Arial"/>
      <family val="2"/>
    </font>
    <font>
      <sz val="10"/>
      <color indexed="27"/>
      <name val="Arial"/>
      <family val="2"/>
    </font>
    <font>
      <sz val="12"/>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0"/>
      <name val="Helv"/>
    </font>
    <font>
      <sz val="8"/>
      <color indexed="81"/>
      <name val="Tahoma"/>
      <family val="2"/>
    </font>
    <font>
      <b/>
      <sz val="8"/>
      <color indexed="81"/>
      <name val="Tahoma"/>
      <family val="2"/>
    </font>
    <font>
      <b/>
      <u/>
      <sz val="18"/>
      <name val="Times New Roman"/>
      <family val="1"/>
    </font>
    <font>
      <b/>
      <u/>
      <sz val="10"/>
      <name val="Times New Roman"/>
      <family val="1"/>
    </font>
    <font>
      <sz val="10"/>
      <name val="Times New Roman"/>
      <family val="1"/>
    </font>
    <font>
      <b/>
      <sz val="9"/>
      <color indexed="81"/>
      <name val="Tahoma"/>
      <family val="2"/>
    </font>
    <font>
      <sz val="8"/>
      <name val="Arial"/>
      <family val="2"/>
    </font>
    <font>
      <sz val="10"/>
      <name val="Arial"/>
      <family val="2"/>
      <charset val="1"/>
    </font>
    <font>
      <sz val="10"/>
      <name val="Times New Roman"/>
      <family val="1"/>
      <charset val="1"/>
    </font>
    <font>
      <sz val="9"/>
      <color indexed="81"/>
      <name val="Tahoma"/>
      <family val="2"/>
    </font>
    <font>
      <sz val="6"/>
      <name val="Arial"/>
      <family val="2"/>
    </font>
    <font>
      <i/>
      <sz val="8"/>
      <name val="Arial"/>
      <family val="2"/>
    </font>
    <font>
      <sz val="9"/>
      <color indexed="81"/>
      <name val="Segoe UI"/>
      <family val="2"/>
    </font>
    <font>
      <i/>
      <sz val="10"/>
      <name val="Arial"/>
      <family val="2"/>
    </font>
    <font>
      <u/>
      <sz val="11"/>
      <color rgb="FF0000FF"/>
      <name val="Calibri"/>
      <family val="2"/>
    </font>
    <font>
      <sz val="10"/>
      <name val="Arial"/>
    </font>
    <font>
      <sz val="10"/>
      <color rgb="FFFF0000"/>
      <name val="Arial"/>
      <family val="2"/>
    </font>
    <font>
      <b/>
      <sz val="12"/>
      <name val="Arial"/>
      <family val="2"/>
    </font>
    <font>
      <b/>
      <sz val="9"/>
      <name val="Arial"/>
      <family val="2"/>
    </font>
    <font>
      <sz val="10"/>
      <name val="Helv"/>
    </font>
    <font>
      <sz val="9"/>
      <name val="Helv"/>
    </font>
    <font>
      <b/>
      <sz val="9"/>
      <color indexed="81"/>
      <name val="Segoe UI"/>
      <family val="2"/>
    </font>
    <font>
      <u/>
      <sz val="24"/>
      <color indexed="12"/>
      <name val="Arial"/>
      <family val="2"/>
    </font>
    <font>
      <sz val="10"/>
      <color rgb="FF00B050"/>
      <name val="Arial"/>
      <family val="2"/>
    </font>
    <font>
      <u/>
      <sz val="14"/>
      <color indexed="12"/>
      <name val="Arial"/>
      <family val="2"/>
    </font>
    <font>
      <u/>
      <sz val="16"/>
      <color indexed="12"/>
      <name val="Arial"/>
      <family val="2"/>
    </font>
    <font>
      <b/>
      <u/>
      <sz val="16"/>
      <color rgb="FF0000FF"/>
      <name val="Arial"/>
      <family val="2"/>
    </font>
  </fonts>
  <fills count="34">
    <fill>
      <patternFill patternType="none"/>
    </fill>
    <fill>
      <patternFill patternType="gray125"/>
    </fill>
    <fill>
      <patternFill patternType="solid">
        <fgColor indexed="57"/>
        <bgColor indexed="21"/>
      </patternFill>
    </fill>
    <fill>
      <patternFill patternType="solid">
        <fgColor indexed="8"/>
        <bgColor indexed="58"/>
      </patternFill>
    </fill>
    <fill>
      <patternFill patternType="solid">
        <fgColor indexed="27"/>
        <bgColor indexed="41"/>
      </patternFill>
    </fill>
    <fill>
      <patternFill patternType="solid">
        <fgColor indexed="12"/>
        <bgColor indexed="39"/>
      </patternFill>
    </fill>
    <fill>
      <patternFill patternType="solid">
        <fgColor indexed="50"/>
        <bgColor indexed="51"/>
      </patternFill>
    </fill>
    <fill>
      <patternFill patternType="solid">
        <fgColor rgb="FFFFC7CE"/>
      </patternFill>
    </fill>
    <fill>
      <patternFill patternType="solid">
        <fgColor rgb="FFC6EFCE"/>
      </patternFill>
    </fill>
    <fill>
      <patternFill patternType="solid">
        <fgColor rgb="FFFFEB9C"/>
      </patternFill>
    </fill>
    <fill>
      <patternFill patternType="solid">
        <fgColor indexed="13"/>
        <bgColor indexed="64"/>
      </patternFill>
    </fill>
    <fill>
      <patternFill patternType="solid">
        <fgColor rgb="FF00B050"/>
        <bgColor indexed="58"/>
      </patternFill>
    </fill>
    <fill>
      <patternFill patternType="solid">
        <fgColor rgb="FF00B050"/>
        <bgColor indexed="64"/>
      </patternFill>
    </fill>
    <fill>
      <patternFill patternType="solid">
        <fgColor rgb="FF00B050"/>
        <bgColor indexed="21"/>
      </patternFill>
    </fill>
    <fill>
      <patternFill patternType="solid">
        <fgColor rgb="FF00B050"/>
        <bgColor indexed="22"/>
      </patternFill>
    </fill>
    <fill>
      <patternFill patternType="solid">
        <fgColor rgb="FF00B050"/>
        <bgColor indexed="41"/>
      </patternFill>
    </fill>
    <fill>
      <patternFill patternType="solid">
        <fgColor indexed="57"/>
        <bgColor indexed="64"/>
      </patternFill>
    </fill>
    <fill>
      <patternFill patternType="solid">
        <fgColor indexed="51"/>
        <bgColor indexed="64"/>
      </patternFill>
    </fill>
    <fill>
      <patternFill patternType="solid">
        <fgColor theme="6" tint="0.59999389629810485"/>
        <bgColor indexed="64"/>
      </patternFill>
    </fill>
    <fill>
      <patternFill patternType="solid">
        <fgColor rgb="FFA6A6A6"/>
        <bgColor rgb="FF000000"/>
      </patternFill>
    </fill>
    <fill>
      <patternFill patternType="solid">
        <fgColor rgb="FFFFFFFF"/>
        <bgColor rgb="FF000000"/>
      </patternFill>
    </fill>
    <fill>
      <patternFill patternType="solid">
        <fgColor rgb="FF948A54"/>
        <bgColor rgb="FF000000"/>
      </patternFill>
    </fill>
    <fill>
      <patternFill patternType="solid">
        <fgColor rgb="FFD9D9D9"/>
        <bgColor rgb="FF000000"/>
      </patternFill>
    </fill>
    <fill>
      <patternFill patternType="solid">
        <fgColor rgb="FF00B050"/>
        <bgColor rgb="FF008080"/>
      </patternFill>
    </fill>
    <fill>
      <patternFill patternType="solid">
        <fgColor rgb="FFFFD320"/>
        <bgColor rgb="FFFFFF00"/>
      </patternFill>
    </fill>
    <fill>
      <patternFill patternType="solid">
        <fgColor rgb="FF999999"/>
        <bgColor rgb="FF808080"/>
      </patternFill>
    </fill>
    <fill>
      <patternFill patternType="solid">
        <fgColor rgb="FFB3B300"/>
        <bgColor rgb="FFFF9900"/>
      </patternFill>
    </fill>
    <fill>
      <patternFill patternType="solid">
        <fgColor rgb="FFCCCCCC"/>
        <bgColor rgb="FFCCCCFF"/>
      </patternFill>
    </fill>
    <fill>
      <patternFill patternType="solid">
        <fgColor rgb="FFFFFF66"/>
        <bgColor rgb="FFFFFF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79998168889431442"/>
        <bgColor indexed="41"/>
      </patternFill>
    </fill>
    <fill>
      <patternFill patternType="solid">
        <fgColor theme="9" tint="0.39997558519241921"/>
        <bgColor indexed="64"/>
      </patternFill>
    </fill>
  </fills>
  <borders count="36">
    <border>
      <left/>
      <right/>
      <top/>
      <bottom/>
      <diagonal/>
    </border>
    <border>
      <left/>
      <right/>
      <top style="thick">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s>
  <cellStyleXfs count="8">
    <xf numFmtId="0" fontId="0" fillId="0" borderId="0"/>
    <xf numFmtId="0" fontId="15" fillId="7" borderId="0" applyNumberFormat="0" applyBorder="0" applyAlignment="0" applyProtection="0"/>
    <xf numFmtId="0" fontId="16" fillId="8" borderId="0" applyNumberFormat="0" applyBorder="0" applyAlignment="0" applyProtection="0"/>
    <xf numFmtId="0" fontId="7" fillId="0" borderId="0" applyNumberFormat="0" applyFill="0" applyBorder="0" applyAlignment="0" applyProtection="0"/>
    <xf numFmtId="0" fontId="17" fillId="9" borderId="0" applyNumberFormat="0" applyBorder="0" applyAlignment="0" applyProtection="0"/>
    <xf numFmtId="0" fontId="26" fillId="0" borderId="0"/>
    <xf numFmtId="0" fontId="34" fillId="0" borderId="0"/>
    <xf numFmtId="0" fontId="38" fillId="0" borderId="0"/>
  </cellStyleXfs>
  <cellXfs count="195">
    <xf numFmtId="0" fontId="0" fillId="0" borderId="0" xfId="0"/>
    <xf numFmtId="0" fontId="0" fillId="0" borderId="0" xfId="0" applyAlignment="1">
      <alignment horizontal="left"/>
    </xf>
    <xf numFmtId="0" fontId="0" fillId="0" borderId="0" xfId="0" applyProtection="1">
      <protection locked="0"/>
    </xf>
    <xf numFmtId="0" fontId="0" fillId="2" borderId="0" xfId="0" applyFill="1"/>
    <xf numFmtId="0" fontId="0" fillId="3" borderId="0" xfId="0" applyFill="1"/>
    <xf numFmtId="0" fontId="0" fillId="0" borderId="0" xfId="0" applyAlignment="1">
      <alignment horizontal="right"/>
    </xf>
    <xf numFmtId="0" fontId="5" fillId="0" borderId="0" xfId="0" applyFont="1" applyAlignment="1">
      <alignment horizontal="left"/>
    </xf>
    <xf numFmtId="0" fontId="5" fillId="0" borderId="0" xfId="0" applyFont="1"/>
    <xf numFmtId="0" fontId="0" fillId="4" borderId="0" xfId="0" applyFill="1"/>
    <xf numFmtId="166" fontId="5" fillId="0" borderId="0" xfId="0" applyNumberFormat="1" applyFont="1" applyAlignment="1">
      <alignment horizontal="left"/>
    </xf>
    <xf numFmtId="2" fontId="0" fillId="0" borderId="0" xfId="0" applyNumberFormat="1" applyProtection="1">
      <protection locked="0"/>
    </xf>
    <xf numFmtId="0" fontId="5" fillId="5" borderId="0" xfId="0" applyFont="1" applyFill="1" applyAlignment="1">
      <alignment horizontal="left"/>
    </xf>
    <xf numFmtId="0" fontId="8" fillId="5" borderId="0" xfId="0" applyFont="1" applyFill="1"/>
    <xf numFmtId="0" fontId="9" fillId="5" borderId="0" xfId="0" applyFont="1" applyFill="1"/>
    <xf numFmtId="0" fontId="9" fillId="5" borderId="0" xfId="0" applyFont="1" applyFill="1" applyAlignment="1">
      <alignment horizontal="right"/>
    </xf>
    <xf numFmtId="0" fontId="9" fillId="5" borderId="0" xfId="0" applyFont="1" applyFill="1" applyAlignment="1">
      <alignment horizontal="center"/>
    </xf>
    <xf numFmtId="0" fontId="3" fillId="5" borderId="0" xfId="0" applyFont="1" applyFill="1"/>
    <xf numFmtId="0" fontId="0" fillId="4" borderId="0" xfId="0" applyFill="1" applyAlignment="1">
      <alignment horizontal="left"/>
    </xf>
    <xf numFmtId="0" fontId="0" fillId="4" borderId="0" xfId="0" applyFill="1" applyProtection="1">
      <protection locked="0"/>
    </xf>
    <xf numFmtId="3" fontId="0" fillId="4" borderId="0" xfId="0" applyNumberFormat="1" applyFill="1" applyAlignment="1" applyProtection="1">
      <alignment horizontal="right"/>
      <protection locked="0"/>
    </xf>
    <xf numFmtId="0" fontId="0" fillId="4" borderId="0" xfId="0" applyFill="1" applyAlignment="1" applyProtection="1">
      <alignment horizontal="right"/>
      <protection locked="0"/>
    </xf>
    <xf numFmtId="0" fontId="0" fillId="0" borderId="0" xfId="0" applyAlignment="1" applyProtection="1">
      <alignment horizontal="right"/>
      <protection locked="0"/>
    </xf>
    <xf numFmtId="0" fontId="11" fillId="6" borderId="0" xfId="0" applyFont="1" applyFill="1"/>
    <xf numFmtId="0" fontId="12" fillId="4" borderId="2" xfId="0" applyFont="1" applyFill="1" applyBorder="1" applyAlignment="1">
      <alignment horizontal="right"/>
    </xf>
    <xf numFmtId="0" fontId="0" fillId="0" borderId="3" xfId="0" applyBorder="1" applyProtection="1">
      <protection locked="0"/>
    </xf>
    <xf numFmtId="0" fontId="5" fillId="4" borderId="0" xfId="0" applyFont="1" applyFill="1"/>
    <xf numFmtId="3" fontId="0" fillId="4" borderId="0" xfId="0" applyNumberFormat="1" applyFill="1" applyAlignment="1">
      <alignment horizontal="right"/>
    </xf>
    <xf numFmtId="0" fontId="0" fillId="4" borderId="0" xfId="0" applyFill="1" applyAlignment="1" applyProtection="1">
      <alignment horizontal="left"/>
      <protection locked="0"/>
    </xf>
    <xf numFmtId="0" fontId="5" fillId="4" borderId="0" xfId="0" applyFont="1" applyFill="1" applyAlignment="1">
      <alignment horizontal="left"/>
    </xf>
    <xf numFmtId="0" fontId="0" fillId="4" borderId="0" xfId="0" applyFill="1" applyAlignment="1">
      <alignment horizontal="right"/>
    </xf>
    <xf numFmtId="0" fontId="13" fillId="4" borderId="0" xfId="0" applyFont="1" applyFill="1"/>
    <xf numFmtId="10" fontId="0" fillId="4" borderId="0" xfId="0" applyNumberFormat="1" applyFill="1"/>
    <xf numFmtId="10" fontId="0" fillId="4" borderId="0" xfId="0" applyNumberFormat="1" applyFill="1" applyAlignment="1">
      <alignment horizontal="right"/>
    </xf>
    <xf numFmtId="0" fontId="13" fillId="4" borderId="0" xfId="0" applyFont="1" applyFill="1" applyAlignment="1">
      <alignment horizontal="right"/>
    </xf>
    <xf numFmtId="166" fontId="0" fillId="4" borderId="0" xfId="0" applyNumberFormat="1" applyFill="1"/>
    <xf numFmtId="166" fontId="0" fillId="0" borderId="0" xfId="0" applyNumberFormat="1"/>
    <xf numFmtId="3" fontId="5" fillId="4" borderId="0" xfId="0" applyNumberFormat="1" applyFont="1" applyFill="1" applyAlignment="1">
      <alignment horizontal="right"/>
    </xf>
    <xf numFmtId="3" fontId="5" fillId="4" borderId="0" xfId="0" applyNumberFormat="1" applyFont="1" applyFill="1" applyAlignment="1">
      <alignment horizontal="left"/>
    </xf>
    <xf numFmtId="166" fontId="5" fillId="4" borderId="0" xfId="0" applyNumberFormat="1" applyFont="1" applyFill="1"/>
    <xf numFmtId="2" fontId="0" fillId="4" borderId="0" xfId="0" applyNumberFormat="1" applyFill="1" applyAlignment="1">
      <alignment horizontal="right"/>
    </xf>
    <xf numFmtId="0" fontId="0" fillId="2" borderId="0" xfId="0" applyFill="1" applyAlignment="1">
      <alignment horizontal="left"/>
    </xf>
    <xf numFmtId="0" fontId="0" fillId="3" borderId="0" xfId="0" applyFill="1" applyAlignment="1">
      <alignment horizontal="left"/>
    </xf>
    <xf numFmtId="0" fontId="17" fillId="9" borderId="0" xfId="4"/>
    <xf numFmtId="2"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167" fontId="0" fillId="0" borderId="0" xfId="0" applyNumberFormat="1"/>
    <xf numFmtId="0" fontId="18" fillId="0" borderId="0" xfId="0" applyFont="1"/>
    <xf numFmtId="4" fontId="0" fillId="0" borderId="0" xfId="0" applyNumberFormat="1"/>
    <xf numFmtId="0" fontId="16" fillId="8" borderId="0" xfId="2"/>
    <xf numFmtId="0" fontId="16" fillId="8" borderId="0" xfId="2" quotePrefix="1"/>
    <xf numFmtId="0" fontId="16" fillId="8" borderId="0" xfId="2" applyNumberFormat="1" applyAlignment="1">
      <alignment horizontal="right"/>
    </xf>
    <xf numFmtId="0" fontId="0" fillId="10" borderId="0" xfId="0" applyFill="1"/>
    <xf numFmtId="167" fontId="0" fillId="0" borderId="0" xfId="0" quotePrefix="1" applyNumberFormat="1"/>
    <xf numFmtId="0" fontId="0" fillId="10" borderId="0" xfId="0" applyFill="1" applyAlignment="1">
      <alignment horizontal="right"/>
    </xf>
    <xf numFmtId="9" fontId="0" fillId="10" borderId="0" xfId="0" applyNumberFormat="1" applyFill="1"/>
    <xf numFmtId="0" fontId="21" fillId="0" borderId="0" xfId="0" applyFont="1"/>
    <xf numFmtId="0" fontId="22" fillId="0" borderId="0" xfId="0" applyFont="1"/>
    <xf numFmtId="0" fontId="23" fillId="0" borderId="0" xfId="0" applyFont="1"/>
    <xf numFmtId="0" fontId="23" fillId="0" borderId="0" xfId="0" applyFont="1" applyAlignment="1">
      <alignment horizontal="right"/>
    </xf>
    <xf numFmtId="0" fontId="0" fillId="11" borderId="0" xfId="0" applyFill="1"/>
    <xf numFmtId="0" fontId="0" fillId="12" borderId="0" xfId="0" applyFill="1"/>
    <xf numFmtId="0" fontId="0" fillId="13" borderId="0" xfId="0" applyFill="1" applyAlignment="1">
      <alignment horizontal="left"/>
    </xf>
    <xf numFmtId="0" fontId="0" fillId="13" borderId="0" xfId="0" applyFill="1"/>
    <xf numFmtId="0" fontId="0" fillId="12" borderId="0" xfId="0" applyFill="1" applyProtection="1">
      <protection locked="0"/>
    </xf>
    <xf numFmtId="0" fontId="0" fillId="14" borderId="0" xfId="0" applyFill="1"/>
    <xf numFmtId="0" fontId="0" fillId="14" borderId="0" xfId="0" applyFill="1" applyProtection="1">
      <protection locked="0"/>
    </xf>
    <xf numFmtId="0" fontId="0" fillId="13" borderId="0" xfId="0" applyFill="1" applyAlignment="1">
      <alignment horizontal="right"/>
    </xf>
    <xf numFmtId="0" fontId="0" fillId="15" borderId="0" xfId="0" applyFill="1" applyAlignment="1">
      <alignment horizontal="left"/>
    </xf>
    <xf numFmtId="0" fontId="14" fillId="15" borderId="0" xfId="0" applyFont="1" applyFill="1" applyAlignment="1">
      <alignment horizontal="right" wrapText="1"/>
    </xf>
    <xf numFmtId="0" fontId="0" fillId="15" borderId="0" xfId="0" applyFill="1"/>
    <xf numFmtId="14" fontId="25" fillId="0" borderId="0" xfId="0" applyNumberFormat="1" applyFont="1" applyAlignment="1">
      <alignment horizontal="left"/>
    </xf>
    <xf numFmtId="0" fontId="27" fillId="0" borderId="0" xfId="5" applyFont="1"/>
    <xf numFmtId="168" fontId="0" fillId="13" borderId="0" xfId="0" applyNumberFormat="1" applyFill="1" applyAlignment="1">
      <alignment horizontal="left"/>
    </xf>
    <xf numFmtId="0" fontId="30" fillId="2" borderId="0" xfId="0" applyFont="1" applyFill="1" applyAlignment="1">
      <alignment wrapText="1" shrinkToFit="1"/>
    </xf>
    <xf numFmtId="0" fontId="29" fillId="2" borderId="0" xfId="0" applyFont="1" applyFill="1" applyAlignment="1">
      <alignment wrapText="1"/>
    </xf>
    <xf numFmtId="0" fontId="0" fillId="16" borderId="0" xfId="0" applyFill="1"/>
    <xf numFmtId="0" fontId="0" fillId="17" borderId="0" xfId="0" applyFill="1" applyProtection="1">
      <protection locked="0"/>
    </xf>
    <xf numFmtId="164" fontId="0" fillId="0" borderId="4" xfId="0" applyNumberFormat="1" applyBorder="1" applyAlignment="1" applyProtection="1">
      <alignment horizontal="right"/>
      <protection locked="0"/>
    </xf>
    <xf numFmtId="164" fontId="0" fillId="0" borderId="4" xfId="0" applyNumberFormat="1" applyBorder="1" applyProtection="1">
      <protection locked="0"/>
    </xf>
    <xf numFmtId="0" fontId="0" fillId="0" borderId="5" xfId="0" applyBorder="1"/>
    <xf numFmtId="0" fontId="0" fillId="18" borderId="0" xfId="0" applyFill="1"/>
    <xf numFmtId="0" fontId="7" fillId="0" borderId="0" xfId="3"/>
    <xf numFmtId="2" fontId="27" fillId="0" borderId="0" xfId="5" applyNumberFormat="1" applyFont="1"/>
    <xf numFmtId="0" fontId="32" fillId="0" borderId="0" xfId="0" applyFont="1"/>
    <xf numFmtId="0" fontId="33" fillId="0" borderId="0" xfId="3" applyFont="1" applyFill="1" applyBorder="1"/>
    <xf numFmtId="0" fontId="0" fillId="19" borderId="0" xfId="0" applyFill="1"/>
    <xf numFmtId="2" fontId="0" fillId="19" borderId="0" xfId="0" applyNumberFormat="1" applyFill="1"/>
    <xf numFmtId="0" fontId="33" fillId="19" borderId="0" xfId="3" applyNumberFormat="1" applyFont="1" applyFill="1" applyBorder="1" applyAlignment="1">
      <alignment horizontal="center" wrapText="1"/>
    </xf>
    <xf numFmtId="169" fontId="0" fillId="19" borderId="0" xfId="0" applyNumberFormat="1" applyFill="1" applyAlignment="1">
      <alignment horizontal="center" wrapText="1"/>
    </xf>
    <xf numFmtId="169" fontId="33" fillId="19" borderId="0" xfId="3" applyNumberFormat="1" applyFont="1" applyFill="1" applyBorder="1" applyAlignment="1">
      <alignment horizontal="center" wrapText="1"/>
    </xf>
    <xf numFmtId="0" fontId="33" fillId="19" borderId="0" xfId="3" applyFont="1" applyFill="1" applyBorder="1"/>
    <xf numFmtId="2" fontId="0" fillId="20" borderId="0" xfId="0" applyNumberFormat="1" applyFill="1"/>
    <xf numFmtId="169" fontId="0" fillId="19" borderId="0" xfId="0" applyNumberFormat="1" applyFill="1" applyAlignment="1">
      <alignment horizontal="center"/>
    </xf>
    <xf numFmtId="2" fontId="0" fillId="19" borderId="0" xfId="0" applyNumberFormat="1" applyFill="1" applyAlignment="1">
      <alignment horizontal="center"/>
    </xf>
    <xf numFmtId="165" fontId="0" fillId="19" borderId="0" xfId="0" applyNumberFormat="1" applyFill="1" applyAlignment="1">
      <alignment horizontal="center"/>
    </xf>
    <xf numFmtId="2" fontId="34" fillId="0" borderId="0" xfId="6" applyNumberFormat="1"/>
    <xf numFmtId="2" fontId="35" fillId="20" borderId="0" xfId="0" applyNumberFormat="1" applyFont="1" applyFill="1"/>
    <xf numFmtId="165" fontId="35" fillId="0" borderId="0" xfId="0" applyNumberFormat="1" applyFont="1" applyAlignment="1">
      <alignment horizontal="center"/>
    </xf>
    <xf numFmtId="2" fontId="35" fillId="0" borderId="0" xfId="0" applyNumberFormat="1" applyFont="1"/>
    <xf numFmtId="165" fontId="0" fillId="20" borderId="0" xfId="0" applyNumberFormat="1" applyFill="1" applyAlignment="1">
      <alignment horizontal="center"/>
    </xf>
    <xf numFmtId="0" fontId="0" fillId="19" borderId="0" xfId="0" applyFill="1" applyAlignment="1">
      <alignment horizontal="center"/>
    </xf>
    <xf numFmtId="0" fontId="12" fillId="21" borderId="0" xfId="0" applyFont="1" applyFill="1"/>
    <xf numFmtId="2" fontId="12" fillId="21" borderId="0" xfId="0" applyNumberFormat="1" applyFont="1" applyFill="1"/>
    <xf numFmtId="0" fontId="12" fillId="0" borderId="0" xfId="0" applyFont="1"/>
    <xf numFmtId="0" fontId="12" fillId="22" borderId="0" xfId="0" applyFont="1" applyFill="1" applyAlignment="1">
      <alignment horizontal="center"/>
    </xf>
    <xf numFmtId="0" fontId="12" fillId="22" borderId="0" xfId="0" applyFont="1" applyFill="1"/>
    <xf numFmtId="2" fontId="12" fillId="22" borderId="0" xfId="0" applyNumberFormat="1" applyFont="1" applyFill="1"/>
    <xf numFmtId="0" fontId="12" fillId="22" borderId="11" xfId="0" applyFont="1" applyFill="1" applyBorder="1"/>
    <xf numFmtId="0" fontId="12" fillId="22" borderId="9" xfId="0" applyFont="1" applyFill="1" applyBorder="1"/>
    <xf numFmtId="2" fontId="12" fillId="22" borderId="10" xfId="0" applyNumberFormat="1" applyFont="1" applyFill="1" applyBorder="1"/>
    <xf numFmtId="0" fontId="12" fillId="22" borderId="12" xfId="0" applyFont="1" applyFill="1" applyBorder="1"/>
    <xf numFmtId="0" fontId="12" fillId="0" borderId="13" xfId="0" applyFont="1" applyBorder="1"/>
    <xf numFmtId="2" fontId="12" fillId="22" borderId="14" xfId="0" applyNumberFormat="1" applyFont="1" applyFill="1" applyBorder="1"/>
    <xf numFmtId="0" fontId="12" fillId="22" borderId="15" xfId="0" applyFont="1" applyFill="1" applyBorder="1"/>
    <xf numFmtId="0" fontId="12" fillId="22" borderId="16" xfId="0" applyFont="1" applyFill="1" applyBorder="1"/>
    <xf numFmtId="2" fontId="12" fillId="22" borderId="17" xfId="0" applyNumberFormat="1" applyFont="1" applyFill="1" applyBorder="1"/>
    <xf numFmtId="0" fontId="12" fillId="22" borderId="18" xfId="0" applyFont="1" applyFill="1" applyBorder="1"/>
    <xf numFmtId="0" fontId="12" fillId="22" borderId="19" xfId="0" applyFont="1" applyFill="1" applyBorder="1"/>
    <xf numFmtId="2" fontId="12" fillId="22" borderId="20" xfId="0" applyNumberFormat="1" applyFont="1" applyFill="1" applyBorder="1"/>
    <xf numFmtId="0" fontId="33" fillId="22" borderId="0" xfId="3" applyFont="1" applyFill="1" applyBorder="1"/>
    <xf numFmtId="0" fontId="12" fillId="22" borderId="21" xfId="0" applyFont="1" applyFill="1" applyBorder="1"/>
    <xf numFmtId="0" fontId="12" fillId="22" borderId="22" xfId="0" applyFont="1" applyFill="1" applyBorder="1"/>
    <xf numFmtId="1" fontId="12" fillId="22" borderId="23" xfId="0" applyNumberFormat="1" applyFont="1" applyFill="1" applyBorder="1"/>
    <xf numFmtId="170" fontId="12" fillId="22" borderId="5" xfId="0" applyNumberFormat="1" applyFont="1" applyFill="1" applyBorder="1"/>
    <xf numFmtId="171" fontId="12" fillId="22" borderId="5" xfId="0" applyNumberFormat="1" applyFont="1" applyFill="1" applyBorder="1"/>
    <xf numFmtId="0" fontId="12" fillId="22" borderId="5" xfId="0" applyFont="1" applyFill="1" applyBorder="1"/>
    <xf numFmtId="0" fontId="12" fillId="21" borderId="0" xfId="0" quotePrefix="1" applyFont="1" applyFill="1"/>
    <xf numFmtId="165" fontId="12" fillId="22" borderId="5" xfId="0" applyNumberFormat="1" applyFont="1" applyFill="1" applyBorder="1"/>
    <xf numFmtId="0" fontId="12" fillId="22" borderId="24" xfId="0" applyFont="1" applyFill="1" applyBorder="1"/>
    <xf numFmtId="0" fontId="12" fillId="22" borderId="25" xfId="0" applyFont="1" applyFill="1" applyBorder="1"/>
    <xf numFmtId="0" fontId="39" fillId="21" borderId="0" xfId="7" applyFont="1" applyFill="1"/>
    <xf numFmtId="170" fontId="39" fillId="21" borderId="0" xfId="7" applyNumberFormat="1" applyFont="1" applyFill="1"/>
    <xf numFmtId="0" fontId="37" fillId="22" borderId="0" xfId="0" applyFont="1" applyFill="1"/>
    <xf numFmtId="10" fontId="12" fillId="22" borderId="0" xfId="0" applyNumberFormat="1" applyFont="1" applyFill="1"/>
    <xf numFmtId="2" fontId="37" fillId="22" borderId="0" xfId="0" applyNumberFormat="1" applyFont="1" applyFill="1"/>
    <xf numFmtId="0" fontId="0" fillId="23" borderId="0" xfId="0" applyFill="1"/>
    <xf numFmtId="0" fontId="0" fillId="23" borderId="0" xfId="0" applyFill="1" applyAlignment="1">
      <alignment horizontal="center"/>
    </xf>
    <xf numFmtId="0" fontId="34" fillId="0" borderId="0" xfId="6"/>
    <xf numFmtId="2" fontId="12" fillId="22" borderId="23" xfId="0" applyNumberFormat="1" applyFont="1" applyFill="1" applyBorder="1"/>
    <xf numFmtId="2" fontId="12" fillId="22" borderId="26" xfId="0" applyNumberFormat="1" applyFont="1" applyFill="1" applyBorder="1"/>
    <xf numFmtId="2" fontId="12" fillId="0" borderId="0" xfId="0" applyNumberFormat="1" applyFont="1"/>
    <xf numFmtId="0" fontId="0" fillId="25" borderId="0" xfId="0" applyFill="1" applyAlignment="1">
      <alignment horizontal="center"/>
    </xf>
    <xf numFmtId="0" fontId="0" fillId="27" borderId="0" xfId="0" applyFill="1" applyAlignment="1">
      <alignment horizontal="center"/>
    </xf>
    <xf numFmtId="0" fontId="0" fillId="28" borderId="0" xfId="0" applyFill="1" applyAlignment="1">
      <alignment horizontal="center"/>
    </xf>
    <xf numFmtId="2" fontId="12" fillId="30" borderId="0" xfId="0" applyNumberFormat="1" applyFont="1" applyFill="1"/>
    <xf numFmtId="2" fontId="42" fillId="0" borderId="0" xfId="0" applyNumberFormat="1" applyFont="1"/>
    <xf numFmtId="14" fontId="34" fillId="29" borderId="0" xfId="6" applyNumberFormat="1" applyFill="1"/>
    <xf numFmtId="2" fontId="12" fillId="29" borderId="5" xfId="0" applyNumberFormat="1" applyFont="1" applyFill="1" applyBorder="1"/>
    <xf numFmtId="0" fontId="12" fillId="29" borderId="25" xfId="0" applyFont="1" applyFill="1" applyBorder="1"/>
    <xf numFmtId="170" fontId="12" fillId="29" borderId="26" xfId="0" applyNumberFormat="1" applyFont="1" applyFill="1" applyBorder="1"/>
    <xf numFmtId="0" fontId="0" fillId="31" borderId="0" xfId="0" applyFill="1"/>
    <xf numFmtId="0" fontId="0" fillId="31" borderId="0" xfId="0" applyFill="1" applyAlignment="1">
      <alignment horizontal="left" vertical="center" wrapText="1"/>
    </xf>
    <xf numFmtId="0" fontId="7" fillId="31" borderId="0" xfId="3" quotePrefix="1" applyFill="1"/>
    <xf numFmtId="0" fontId="0" fillId="32" borderId="0" xfId="0" applyFill="1"/>
    <xf numFmtId="2" fontId="0" fillId="0" borderId="0" xfId="6" applyNumberFormat="1" applyFont="1"/>
    <xf numFmtId="0" fontId="0" fillId="31" borderId="0" xfId="0" applyFill="1" applyAlignment="1">
      <alignment horizontal="left" vertical="center" wrapText="1"/>
    </xf>
    <xf numFmtId="0" fontId="43" fillId="33" borderId="0" xfId="3" applyFont="1" applyFill="1" applyAlignment="1">
      <alignment horizontal="center" vertical="center"/>
    </xf>
    <xf numFmtId="0" fontId="44" fillId="33" borderId="0" xfId="3" applyFont="1" applyFill="1" applyAlignment="1">
      <alignment horizontal="center" vertical="center"/>
    </xf>
    <xf numFmtId="2" fontId="41" fillId="29" borderId="21" xfId="3" applyNumberFormat="1" applyFont="1" applyFill="1" applyBorder="1" applyAlignment="1">
      <alignment horizontal="center" vertical="center"/>
    </xf>
    <xf numFmtId="2" fontId="41" fillId="29" borderId="22" xfId="3" applyNumberFormat="1" applyFont="1" applyFill="1" applyBorder="1" applyAlignment="1">
      <alignment horizontal="center" vertical="center"/>
    </xf>
    <xf numFmtId="2" fontId="41" fillId="29" borderId="23" xfId="3" applyNumberFormat="1" applyFont="1" applyFill="1" applyBorder="1" applyAlignment="1">
      <alignment horizontal="center" vertical="center"/>
    </xf>
    <xf numFmtId="2" fontId="41" fillId="29" borderId="15" xfId="3" applyNumberFormat="1" applyFont="1" applyFill="1" applyBorder="1" applyAlignment="1">
      <alignment horizontal="center" vertical="center"/>
    </xf>
    <xf numFmtId="2" fontId="41" fillId="29" borderId="0" xfId="3" applyNumberFormat="1" applyFont="1" applyFill="1" applyBorder="1" applyAlignment="1">
      <alignment horizontal="center" vertical="center"/>
    </xf>
    <xf numFmtId="2" fontId="41" fillId="29" borderId="5" xfId="3" applyNumberFormat="1" applyFont="1" applyFill="1" applyBorder="1" applyAlignment="1">
      <alignment horizontal="center" vertical="center"/>
    </xf>
    <xf numFmtId="2" fontId="41" fillId="29" borderId="24" xfId="3" applyNumberFormat="1" applyFont="1" applyFill="1" applyBorder="1" applyAlignment="1">
      <alignment horizontal="center" vertical="center"/>
    </xf>
    <xf numFmtId="2" fontId="41" fillId="29" borderId="25" xfId="3" applyNumberFormat="1" applyFont="1" applyFill="1" applyBorder="1" applyAlignment="1">
      <alignment horizontal="center" vertical="center"/>
    </xf>
    <xf numFmtId="2" fontId="41" fillId="29" borderId="26" xfId="3" applyNumberFormat="1" applyFont="1" applyFill="1" applyBorder="1" applyAlignment="1">
      <alignment horizontal="center" vertical="center"/>
    </xf>
    <xf numFmtId="0" fontId="39" fillId="21" borderId="15" xfId="7" applyFont="1" applyFill="1" applyBorder="1" applyAlignment="1">
      <alignment horizontal="center" vertical="center" wrapText="1"/>
    </xf>
    <xf numFmtId="0" fontId="39" fillId="21" borderId="0" xfId="7" applyFont="1" applyFill="1" applyAlignment="1">
      <alignment horizontal="center" vertical="center" wrapText="1"/>
    </xf>
    <xf numFmtId="0" fontId="36" fillId="22" borderId="6" xfId="0" applyFont="1" applyFill="1" applyBorder="1" applyAlignment="1">
      <alignment horizontal="center"/>
    </xf>
    <xf numFmtId="0" fontId="36" fillId="22" borderId="7" xfId="0" applyFont="1" applyFill="1" applyBorder="1" applyAlignment="1">
      <alignment horizontal="center"/>
    </xf>
    <xf numFmtId="0" fontId="36" fillId="22" borderId="8" xfId="0" applyFont="1" applyFill="1" applyBorder="1" applyAlignment="1">
      <alignment horizontal="center"/>
    </xf>
    <xf numFmtId="0" fontId="37" fillId="22" borderId="11" xfId="0" applyFont="1" applyFill="1" applyBorder="1" applyAlignment="1">
      <alignment horizontal="center"/>
    </xf>
    <xf numFmtId="0" fontId="37" fillId="22" borderId="35" xfId="0" applyFont="1" applyFill="1" applyBorder="1" applyAlignment="1">
      <alignment horizontal="center"/>
    </xf>
    <xf numFmtId="0" fontId="37" fillId="22" borderId="32" xfId="0" applyFont="1" applyFill="1" applyBorder="1" applyAlignment="1">
      <alignment horizontal="center"/>
    </xf>
    <xf numFmtId="0" fontId="37" fillId="22" borderId="33" xfId="0" applyFont="1" applyFill="1" applyBorder="1" applyAlignment="1">
      <alignment horizontal="center"/>
    </xf>
    <xf numFmtId="0" fontId="37" fillId="22" borderId="34" xfId="0" applyFont="1" applyFill="1" applyBorder="1" applyAlignment="1">
      <alignment horizontal="center"/>
    </xf>
    <xf numFmtId="0" fontId="37" fillId="0" borderId="30" xfId="0" applyFont="1" applyBorder="1" applyAlignment="1">
      <alignment horizontal="center"/>
    </xf>
    <xf numFmtId="0" fontId="37" fillId="0" borderId="31" xfId="0" applyFont="1" applyBorder="1" applyAlignment="1">
      <alignment horizontal="center"/>
    </xf>
    <xf numFmtId="0" fontId="37" fillId="0" borderId="27" xfId="0" applyFont="1" applyBorder="1" applyAlignment="1">
      <alignment horizontal="center"/>
    </xf>
    <xf numFmtId="0" fontId="37" fillId="0" borderId="28" xfId="0" applyFont="1" applyBorder="1" applyAlignment="1">
      <alignment horizontal="center"/>
    </xf>
    <xf numFmtId="0" fontId="37" fillId="0" borderId="29" xfId="0" applyFont="1" applyBorder="1" applyAlignment="1">
      <alignment horizontal="center"/>
    </xf>
    <xf numFmtId="0" fontId="0" fillId="24" borderId="0" xfId="0" applyFill="1" applyAlignment="1">
      <alignment horizontal="center" wrapText="1"/>
    </xf>
    <xf numFmtId="0" fontId="0" fillId="26" borderId="0" xfId="0" applyFill="1" applyAlignment="1">
      <alignment horizontal="center"/>
    </xf>
    <xf numFmtId="0" fontId="5" fillId="13" borderId="0" xfId="0" applyFont="1" applyFill="1" applyAlignment="1">
      <alignment horizontal="center"/>
    </xf>
    <xf numFmtId="0" fontId="3" fillId="14" borderId="0" xfId="0" applyFont="1" applyFill="1" applyAlignment="1">
      <alignment horizontal="center" vertical="center" wrapText="1" shrinkToFit="1"/>
    </xf>
    <xf numFmtId="0" fontId="3" fillId="14" borderId="1" xfId="0" applyFont="1" applyFill="1" applyBorder="1" applyAlignment="1">
      <alignment horizontal="center" vertical="center" wrapText="1" shrinkToFit="1"/>
    </xf>
    <xf numFmtId="0" fontId="0" fillId="13" borderId="0" xfId="0" applyFill="1" applyAlignment="1">
      <alignment horizontal="left"/>
    </xf>
    <xf numFmtId="0" fontId="4" fillId="2" borderId="0" xfId="0" applyFont="1" applyFill="1" applyAlignment="1">
      <alignment horizontal="center"/>
    </xf>
    <xf numFmtId="0" fontId="6" fillId="14" borderId="0" xfId="3" applyNumberFormat="1" applyFont="1" applyFill="1" applyBorder="1" applyAlignment="1" applyProtection="1">
      <alignment horizontal="center" wrapText="1" shrinkToFit="1"/>
    </xf>
    <xf numFmtId="0" fontId="0" fillId="0" borderId="0" xfId="0" applyAlignment="1">
      <alignment horizontal="center" vertical="center" wrapText="1"/>
    </xf>
    <xf numFmtId="0" fontId="16" fillId="8" borderId="0" xfId="2" applyAlignment="1">
      <alignment horizontal="center"/>
    </xf>
    <xf numFmtId="0" fontId="15" fillId="7" borderId="0" xfId="1" applyAlignment="1">
      <alignment horizontal="center"/>
    </xf>
  </cellXfs>
  <cellStyles count="8">
    <cellStyle name="Excel Built-in Normal" xfId="5" xr:uid="{00000000-0005-0000-0000-000001000000}"/>
    <cellStyle name="Gut" xfId="2" builtinId="26"/>
    <cellStyle name="Link" xfId="3" builtinId="8"/>
    <cellStyle name="Neutral" xfId="4" builtinId="28"/>
    <cellStyle name="Normal 2" xfId="6" xr:uid="{2C8C885D-49B2-4581-8B16-93BF1CB73F58}"/>
    <cellStyle name="Normal 3" xfId="7" xr:uid="{A6829C1A-598D-44AD-A072-EB72B4F488AC}"/>
    <cellStyle name="Schlecht" xfId="1"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CIS</c:v>
          </c:tx>
          <c:invertIfNegative val="0"/>
          <c:cat>
            <c:numLit>
              <c:formatCode>General</c:formatCode>
              <c:ptCount val="7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numLit>
          </c:cat>
          <c:val>
            <c:numLit>
              <c:formatCode>General</c:formatCode>
              <c:ptCount val="71"/>
              <c:pt idx="0">
                <c:v>0</c:v>
              </c:pt>
              <c:pt idx="1">
                <c:v>25.700000000000003</c:v>
              </c:pt>
              <c:pt idx="2">
                <c:v>28.6</c:v>
              </c:pt>
              <c:pt idx="3">
                <c:v>31.5</c:v>
              </c:pt>
              <c:pt idx="4">
                <c:v>34.4</c:v>
              </c:pt>
              <c:pt idx="5">
                <c:v>37.300000000000004</c:v>
              </c:pt>
              <c:pt idx="6">
                <c:v>40.200000000000003</c:v>
              </c:pt>
              <c:pt idx="7">
                <c:v>43.1</c:v>
              </c:pt>
              <c:pt idx="8">
                <c:v>46</c:v>
              </c:pt>
              <c:pt idx="9">
                <c:v>48.9</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49</c:v>
              </c:pt>
              <c:pt idx="35">
                <c:v>47.5</c:v>
              </c:pt>
              <c:pt idx="36">
                <c:v>46</c:v>
              </c:pt>
              <c:pt idx="37">
                <c:v>44.5</c:v>
              </c:pt>
              <c:pt idx="38">
                <c:v>43</c:v>
              </c:pt>
              <c:pt idx="39">
                <c:v>41.5</c:v>
              </c:pt>
              <c:pt idx="40">
                <c:v>40</c:v>
              </c:pt>
              <c:pt idx="41">
                <c:v>38.5</c:v>
              </c:pt>
              <c:pt idx="42">
                <c:v>37</c:v>
              </c:pt>
              <c:pt idx="43">
                <c:v>35.5</c:v>
              </c:pt>
              <c:pt idx="44">
                <c:v>34</c:v>
              </c:pt>
              <c:pt idx="45">
                <c:v>32.5</c:v>
              </c:pt>
              <c:pt idx="46">
                <c:v>31</c:v>
              </c:pt>
              <c:pt idx="47">
                <c:v>29.5</c:v>
              </c:pt>
              <c:pt idx="48">
                <c:v>28</c:v>
              </c:pt>
              <c:pt idx="49">
                <c:v>26.5</c:v>
              </c:pt>
              <c:pt idx="50">
                <c:v>25</c:v>
              </c:pt>
              <c:pt idx="51">
                <c:v>23.5</c:v>
              </c:pt>
              <c:pt idx="52">
                <c:v>22</c:v>
              </c:pt>
              <c:pt idx="53">
                <c:v>20.5</c:v>
              </c:pt>
              <c:pt idx="54">
                <c:v>19</c:v>
              </c:pt>
              <c:pt idx="55">
                <c:v>17.5</c:v>
              </c:pt>
              <c:pt idx="56">
                <c:v>16</c:v>
              </c:pt>
              <c:pt idx="57">
                <c:v>14.5</c:v>
              </c:pt>
              <c:pt idx="58">
                <c:v>13</c:v>
              </c:pt>
              <c:pt idx="59">
                <c:v>11.5</c:v>
              </c:pt>
              <c:pt idx="60">
                <c:v>10</c:v>
              </c:pt>
              <c:pt idx="61">
                <c:v>8.5</c:v>
              </c:pt>
              <c:pt idx="62">
                <c:v>7</c:v>
              </c:pt>
              <c:pt idx="63">
                <c:v>5.5</c:v>
              </c:pt>
              <c:pt idx="64">
                <c:v>4</c:v>
              </c:pt>
              <c:pt idx="65">
                <c:v>2.5</c:v>
              </c:pt>
              <c:pt idx="66">
                <c:v>1</c:v>
              </c:pt>
              <c:pt idx="67">
                <c:v>0</c:v>
              </c:pt>
              <c:pt idx="68">
                <c:v>0</c:v>
              </c:pt>
              <c:pt idx="69">
                <c:v>0</c:v>
              </c:pt>
              <c:pt idx="70">
                <c:v>0</c:v>
              </c:pt>
            </c:numLit>
          </c:val>
          <c:extLst>
            <c:ext xmlns:c16="http://schemas.microsoft.com/office/drawing/2014/chart" uri="{C3380CC4-5D6E-409C-BE32-E72D297353CC}">
              <c16:uniqueId val="{00000000-8FC0-4463-B871-4D879244A3E5}"/>
            </c:ext>
          </c:extLst>
        </c:ser>
        <c:dLbls>
          <c:showLegendKey val="0"/>
          <c:showVal val="0"/>
          <c:showCatName val="0"/>
          <c:showSerName val="0"/>
          <c:showPercent val="0"/>
          <c:showBubbleSize val="0"/>
        </c:dLbls>
        <c:gapWidth val="150"/>
        <c:axId val="74533888"/>
        <c:axId val="74543872"/>
      </c:barChart>
      <c:catAx>
        <c:axId val="74533888"/>
        <c:scaling>
          <c:orientation val="minMax"/>
        </c:scaling>
        <c:delete val="0"/>
        <c:axPos val="b"/>
        <c:numFmt formatCode="General" sourceLinked="1"/>
        <c:majorTickMark val="out"/>
        <c:minorTickMark val="none"/>
        <c:tickLblPos val="nextTo"/>
        <c:crossAx val="74543872"/>
        <c:crosses val="autoZero"/>
        <c:auto val="1"/>
        <c:lblAlgn val="ctr"/>
        <c:lblOffset val="100"/>
        <c:noMultiLvlLbl val="0"/>
      </c:catAx>
      <c:valAx>
        <c:axId val="74543872"/>
        <c:scaling>
          <c:orientation val="minMax"/>
        </c:scaling>
        <c:delete val="0"/>
        <c:axPos val="l"/>
        <c:majorGridlines/>
        <c:numFmt formatCode="General" sourceLinked="1"/>
        <c:majorTickMark val="out"/>
        <c:minorTickMark val="none"/>
        <c:tickLblPos val="nextTo"/>
        <c:crossAx val="74533888"/>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trlProps/ctrlProp1.xml><?xml version="1.0" encoding="utf-8"?>
<formControlPr xmlns="http://schemas.microsoft.com/office/spreadsheetml/2009/9/main" objectType="Drop" dropLines="40" dropStyle="combo" dx="22" fmlaLink="'Rente Taux'!$B$43" fmlaRange="'Rente Taux'!$B$3:$B$42" noThreeD="1" sel="12" val="0"/>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11</xdr:row>
          <xdr:rowOff>9525</xdr:rowOff>
        </xdr:from>
        <xdr:to>
          <xdr:col>5</xdr:col>
          <xdr:colOff>1200150</xdr:colOff>
          <xdr:row>11</xdr:row>
          <xdr:rowOff>219075</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200025</xdr:colOff>
      <xdr:row>67</xdr:row>
      <xdr:rowOff>57150</xdr:rowOff>
    </xdr:from>
    <xdr:to>
      <xdr:col>7</xdr:col>
      <xdr:colOff>276225</xdr:colOff>
      <xdr:row>68</xdr:row>
      <xdr:rowOff>66675</xdr:rowOff>
    </xdr:to>
    <xdr:sp macro="" textlink="">
      <xdr:nvSpPr>
        <xdr:cNvPr id="1060" name="AutoShape 315">
          <a:extLst>
            <a:ext uri="{FF2B5EF4-FFF2-40B4-BE49-F238E27FC236}">
              <a16:creationId xmlns:a16="http://schemas.microsoft.com/office/drawing/2014/main" id="{00000000-0008-0000-0000-000024040000}"/>
            </a:ext>
          </a:extLst>
        </xdr:cNvPr>
        <xdr:cNvSpPr>
          <a:spLocks noChangeArrowheads="1" noChangeShapeType="1" noTextEdit="1"/>
        </xdr:cNvSpPr>
      </xdr:nvSpPr>
      <xdr:spPr bwMode="auto">
        <a:xfrm>
          <a:off x="5086350" y="11220450"/>
          <a:ext cx="1819275" cy="190500"/>
        </a:xfrm>
        <a:prstGeom prst="rect">
          <a:avLst/>
        </a:prstGeom>
      </xdr:spPr>
      <xdr:txBody>
        <a:bodyPr wrap="none" fromWordArt="1">
          <a:prstTxWarp prst="textPlain">
            <a:avLst>
              <a:gd name="adj" fmla="val 50000"/>
            </a:avLst>
          </a:prstTxWarp>
        </a:bodyPr>
        <a:lstStyle/>
        <a:p>
          <a:pPr algn="dist" rtl="0">
            <a:lnSpc>
              <a:spcPts val="1300"/>
            </a:lnSpc>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SANS GARANTIE</a:t>
          </a:r>
        </a:p>
        <a:p>
          <a:pPr algn="dist" rtl="0">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COPYRIGHTS: FRÄNK SIEBENALLER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47624</xdr:colOff>
      <xdr:row>9</xdr:row>
      <xdr:rowOff>28575</xdr:rowOff>
    </xdr:from>
    <xdr:to>
      <xdr:col>14</xdr:col>
      <xdr:colOff>514350</xdr:colOff>
      <xdr:row>33</xdr:row>
      <xdr:rowOff>9525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e47a6296c28d37af/Exel%20Programme/Pensioun/Pensionsberechnung-04-2022%20mit%20Gebrauchsanweisung-Exemble%20mr%20Schmit%20chambre%20des%20salarie.xls" TargetMode="External"/><Relationship Id="rId1" Type="http://schemas.openxmlformats.org/officeDocument/2006/relationships/externalLinkPath" Target="Pensionsberechnung-04-2022%20mit%20Gebrauchsanweisung-Exemble%20mr%20Schmit%20chambre%20des%20salar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klärung Deutsch"/>
      <sheetName val="revenu"/>
      <sheetName val="calcul "/>
      <sheetName val="taux"/>
      <sheetName val="Steuermodul"/>
    </sheetNames>
    <sheetDataSet>
      <sheetData sheetId="0"/>
      <sheetData sheetId="1">
        <row r="47">
          <cell r="C47">
            <v>74489.820000000007</v>
          </cell>
        </row>
        <row r="48">
          <cell r="C48">
            <v>75288.72</v>
          </cell>
          <cell r="I48">
            <v>724.90424800000005</v>
          </cell>
        </row>
        <row r="49">
          <cell r="C49">
            <v>76041.61</v>
          </cell>
          <cell r="I49">
            <v>742.02683147999994</v>
          </cell>
        </row>
        <row r="50">
          <cell r="C50">
            <v>76802.02</v>
          </cell>
          <cell r="I50">
            <v>748.75840775999995</v>
          </cell>
        </row>
        <row r="51">
          <cell r="C51">
            <v>77570.039999999994</v>
          </cell>
          <cell r="I51">
            <v>750.82966199999987</v>
          </cell>
        </row>
        <row r="52">
          <cell r="C52">
            <v>78345.740000000005</v>
          </cell>
          <cell r="I52">
            <v>775.9604766399998</v>
          </cell>
        </row>
        <row r="53">
          <cell r="C53">
            <v>79129.2</v>
          </cell>
          <cell r="I53">
            <v>795.84509983999988</v>
          </cell>
        </row>
        <row r="54">
          <cell r="C54">
            <v>79920.490000000005</v>
          </cell>
          <cell r="I54">
            <v>817.66085759999999</v>
          </cell>
        </row>
        <row r="55">
          <cell r="C55">
            <v>80719.7</v>
          </cell>
          <cell r="I55">
            <v>847.58191360000001</v>
          </cell>
        </row>
        <row r="56">
          <cell r="C56">
            <v>81526.899999999994</v>
          </cell>
          <cell r="I56">
            <v>852.88209280000001</v>
          </cell>
        </row>
        <row r="57">
          <cell r="C57">
            <v>20500.55</v>
          </cell>
          <cell r="I57">
            <v>868.76232319999997</v>
          </cell>
        </row>
        <row r="58">
          <cell r="C58">
            <v>0</v>
          </cell>
          <cell r="I58">
            <v>868.76232319999997</v>
          </cell>
        </row>
        <row r="59">
          <cell r="C59">
            <v>0</v>
          </cell>
          <cell r="I59">
            <v>868.76232319999997</v>
          </cell>
        </row>
        <row r="60">
          <cell r="C60">
            <v>0</v>
          </cell>
          <cell r="I60">
            <v>868.76232319999997</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sheetData>
      <sheetData sheetId="2">
        <row r="28">
          <cell r="F28">
            <v>3876.8171807066433</v>
          </cell>
        </row>
      </sheetData>
      <sheetData sheetId="3">
        <row r="3">
          <cell r="E3">
            <v>93</v>
          </cell>
        </row>
        <row r="4">
          <cell r="E4">
            <v>93</v>
          </cell>
        </row>
        <row r="5">
          <cell r="E5">
            <v>93</v>
          </cell>
        </row>
        <row r="6">
          <cell r="E6">
            <v>93</v>
          </cell>
        </row>
        <row r="7">
          <cell r="E7">
            <v>93</v>
          </cell>
        </row>
        <row r="8">
          <cell r="E8">
            <v>94</v>
          </cell>
        </row>
        <row r="9">
          <cell r="E9">
            <v>94</v>
          </cell>
        </row>
        <row r="10">
          <cell r="E10">
            <v>94</v>
          </cell>
        </row>
        <row r="11">
          <cell r="E11">
            <v>94</v>
          </cell>
        </row>
        <row r="12">
          <cell r="E12">
            <v>94</v>
          </cell>
        </row>
        <row r="13">
          <cell r="E13">
            <v>94</v>
          </cell>
        </row>
        <row r="14">
          <cell r="E14">
            <v>95</v>
          </cell>
        </row>
        <row r="15">
          <cell r="E15">
            <v>95</v>
          </cell>
        </row>
        <row r="16">
          <cell r="E16">
            <v>95</v>
          </cell>
        </row>
        <row r="17">
          <cell r="E17">
            <v>95</v>
          </cell>
        </row>
        <row r="18">
          <cell r="E18">
            <v>95</v>
          </cell>
        </row>
        <row r="19">
          <cell r="E19">
            <v>95</v>
          </cell>
        </row>
        <row r="20">
          <cell r="E20">
            <v>96</v>
          </cell>
        </row>
        <row r="21">
          <cell r="E21">
            <v>96</v>
          </cell>
        </row>
        <row r="22">
          <cell r="E22">
            <v>96</v>
          </cell>
        </row>
        <row r="23">
          <cell r="E23">
            <v>96</v>
          </cell>
        </row>
        <row r="24">
          <cell r="E24">
            <v>96</v>
          </cell>
        </row>
        <row r="25">
          <cell r="E25">
            <v>97</v>
          </cell>
        </row>
        <row r="26">
          <cell r="E26">
            <v>97</v>
          </cell>
        </row>
        <row r="27">
          <cell r="E27">
            <v>97</v>
          </cell>
        </row>
        <row r="28">
          <cell r="E28">
            <v>97</v>
          </cell>
        </row>
        <row r="29">
          <cell r="E29">
            <v>97</v>
          </cell>
        </row>
        <row r="30">
          <cell r="E30">
            <v>97</v>
          </cell>
        </row>
        <row r="31">
          <cell r="E31">
            <v>98</v>
          </cell>
        </row>
        <row r="32">
          <cell r="E32">
            <v>98</v>
          </cell>
        </row>
        <row r="33">
          <cell r="E33">
            <v>98</v>
          </cell>
        </row>
        <row r="34">
          <cell r="E34">
            <v>98</v>
          </cell>
        </row>
        <row r="35">
          <cell r="E35">
            <v>98</v>
          </cell>
        </row>
        <row r="36">
          <cell r="E36">
            <v>98</v>
          </cell>
        </row>
        <row r="37">
          <cell r="E37">
            <v>99</v>
          </cell>
        </row>
        <row r="38">
          <cell r="E38">
            <v>99</v>
          </cell>
        </row>
        <row r="39">
          <cell r="E39">
            <v>99</v>
          </cell>
        </row>
        <row r="40">
          <cell r="E40">
            <v>99</v>
          </cell>
        </row>
        <row r="41">
          <cell r="E41">
            <v>99</v>
          </cell>
        </row>
        <row r="42">
          <cell r="E42">
            <v>100</v>
          </cell>
        </row>
        <row r="43">
          <cell r="B43">
            <v>10</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nap.lu/prestations/dispositions-communes/allocation-de-fin-dannee/" TargetMode="External"/><Relationship Id="rId2" Type="http://schemas.openxmlformats.org/officeDocument/2006/relationships/hyperlink" Target="https://www.cdm.lu/media/547f304e38929_securite-sociale-facteur-de-revalorisation.pdf" TargetMode="External"/><Relationship Id="rId1" Type="http://schemas.openxmlformats.org/officeDocument/2006/relationships/hyperlink" Target="https://statistiques.public.lu/stat/TableViewer/tableViewHTML.aspx?ReportId=13277&amp;IF_Language=fra&amp;MainTheme=5&amp;FldrName=5&amp;RFPath=10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nap.lu/fileadmin/file/cnap/prestations/exemples/PV/PV_parametres.pdf" TargetMode="External"/><Relationship Id="rId1" Type="http://schemas.openxmlformats.org/officeDocument/2006/relationships/hyperlink" Target="http://www.cnap.lu/fileadmin/file/cnap/publications/Publications_CNAP/Depliants/Depliant_Alterspension.pdf" TargetMode="External"/><Relationship Id="rId6" Type="http://schemas.openxmlformats.org/officeDocument/2006/relationships/comments" Target="../comments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hyperlink" Target="http://www.cnap.lu/fileadmin/file/cnap/prestations/exemples/PV/Tableau_des_variables_de_calcul_des_pensions.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lcgbhk@gmail.com?subject=demande%20version%20complete%20bulletin%20de%20salair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impotsdirects.public.lu/content/dam/acd/fr/legislation/legi16/a274.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impotsdirects.public.lu/fr/az/c/credit-impot-energie/cie2022.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8BA-6497-4B96-B80F-D09C078B89BA}">
  <dimension ref="A2:M42"/>
  <sheetViews>
    <sheetView topLeftCell="B1" workbookViewId="0">
      <selection activeCell="Q36" sqref="Q36"/>
    </sheetView>
  </sheetViews>
  <sheetFormatPr baseColWidth="10" defaultRowHeight="12.75" x14ac:dyDescent="0.2"/>
  <cols>
    <col min="1" max="1" width="11.42578125" style="152"/>
    <col min="2" max="2" width="26.5703125" style="152" customWidth="1"/>
    <col min="3" max="257" width="11.42578125" style="152"/>
    <col min="258" max="258" width="119.42578125" style="152" customWidth="1"/>
    <col min="259" max="513" width="11.42578125" style="152"/>
    <col min="514" max="514" width="119.42578125" style="152" customWidth="1"/>
    <col min="515" max="769" width="11.42578125" style="152"/>
    <col min="770" max="770" width="119.42578125" style="152" customWidth="1"/>
    <col min="771" max="1025" width="11.42578125" style="152"/>
    <col min="1026" max="1026" width="119.42578125" style="152" customWidth="1"/>
    <col min="1027" max="1281" width="11.42578125" style="152"/>
    <col min="1282" max="1282" width="119.42578125" style="152" customWidth="1"/>
    <col min="1283" max="1537" width="11.42578125" style="152"/>
    <col min="1538" max="1538" width="119.42578125" style="152" customWidth="1"/>
    <col min="1539" max="1793" width="11.42578125" style="152"/>
    <col min="1794" max="1794" width="119.42578125" style="152" customWidth="1"/>
    <col min="1795" max="2049" width="11.42578125" style="152"/>
    <col min="2050" max="2050" width="119.42578125" style="152" customWidth="1"/>
    <col min="2051" max="2305" width="11.42578125" style="152"/>
    <col min="2306" max="2306" width="119.42578125" style="152" customWidth="1"/>
    <col min="2307" max="2561" width="11.42578125" style="152"/>
    <col min="2562" max="2562" width="119.42578125" style="152" customWidth="1"/>
    <col min="2563" max="2817" width="11.42578125" style="152"/>
    <col min="2818" max="2818" width="119.42578125" style="152" customWidth="1"/>
    <col min="2819" max="3073" width="11.42578125" style="152"/>
    <col min="3074" max="3074" width="119.42578125" style="152" customWidth="1"/>
    <col min="3075" max="3329" width="11.42578125" style="152"/>
    <col min="3330" max="3330" width="119.42578125" style="152" customWidth="1"/>
    <col min="3331" max="3585" width="11.42578125" style="152"/>
    <col min="3586" max="3586" width="119.42578125" style="152" customWidth="1"/>
    <col min="3587" max="3841" width="11.42578125" style="152"/>
    <col min="3842" max="3842" width="119.42578125" style="152" customWidth="1"/>
    <col min="3843" max="4097" width="11.42578125" style="152"/>
    <col min="4098" max="4098" width="119.42578125" style="152" customWidth="1"/>
    <col min="4099" max="4353" width="11.42578125" style="152"/>
    <col min="4354" max="4354" width="119.42578125" style="152" customWidth="1"/>
    <col min="4355" max="4609" width="11.42578125" style="152"/>
    <col min="4610" max="4610" width="119.42578125" style="152" customWidth="1"/>
    <col min="4611" max="4865" width="11.42578125" style="152"/>
    <col min="4866" max="4866" width="119.42578125" style="152" customWidth="1"/>
    <col min="4867" max="5121" width="11.42578125" style="152"/>
    <col min="5122" max="5122" width="119.42578125" style="152" customWidth="1"/>
    <col min="5123" max="5377" width="11.42578125" style="152"/>
    <col min="5378" max="5378" width="119.42578125" style="152" customWidth="1"/>
    <col min="5379" max="5633" width="11.42578125" style="152"/>
    <col min="5634" max="5634" width="119.42578125" style="152" customWidth="1"/>
    <col min="5635" max="5889" width="11.42578125" style="152"/>
    <col min="5890" max="5890" width="119.42578125" style="152" customWidth="1"/>
    <col min="5891" max="6145" width="11.42578125" style="152"/>
    <col min="6146" max="6146" width="119.42578125" style="152" customWidth="1"/>
    <col min="6147" max="6401" width="11.42578125" style="152"/>
    <col min="6402" max="6402" width="119.42578125" style="152" customWidth="1"/>
    <col min="6403" max="6657" width="11.42578125" style="152"/>
    <col min="6658" max="6658" width="119.42578125" style="152" customWidth="1"/>
    <col min="6659" max="6913" width="11.42578125" style="152"/>
    <col min="6914" max="6914" width="119.42578125" style="152" customWidth="1"/>
    <col min="6915" max="7169" width="11.42578125" style="152"/>
    <col min="7170" max="7170" width="119.42578125" style="152" customWidth="1"/>
    <col min="7171" max="7425" width="11.42578125" style="152"/>
    <col min="7426" max="7426" width="119.42578125" style="152" customWidth="1"/>
    <col min="7427" max="7681" width="11.42578125" style="152"/>
    <col min="7682" max="7682" width="119.42578125" style="152" customWidth="1"/>
    <col min="7683" max="7937" width="11.42578125" style="152"/>
    <col min="7938" max="7938" width="119.42578125" style="152" customWidth="1"/>
    <col min="7939" max="8193" width="11.42578125" style="152"/>
    <col min="8194" max="8194" width="119.42578125" style="152" customWidth="1"/>
    <col min="8195" max="8449" width="11.42578125" style="152"/>
    <col min="8450" max="8450" width="119.42578125" style="152" customWidth="1"/>
    <col min="8451" max="8705" width="11.42578125" style="152"/>
    <col min="8706" max="8706" width="119.42578125" style="152" customWidth="1"/>
    <col min="8707" max="8961" width="11.42578125" style="152"/>
    <col min="8962" max="8962" width="119.42578125" style="152" customWidth="1"/>
    <col min="8963" max="9217" width="11.42578125" style="152"/>
    <col min="9218" max="9218" width="119.42578125" style="152" customWidth="1"/>
    <col min="9219" max="9473" width="11.42578125" style="152"/>
    <col min="9474" max="9474" width="119.42578125" style="152" customWidth="1"/>
    <col min="9475" max="9729" width="11.42578125" style="152"/>
    <col min="9730" max="9730" width="119.42578125" style="152" customWidth="1"/>
    <col min="9731" max="9985" width="11.42578125" style="152"/>
    <col min="9986" max="9986" width="119.42578125" style="152" customWidth="1"/>
    <col min="9987" max="10241" width="11.42578125" style="152"/>
    <col min="10242" max="10242" width="119.42578125" style="152" customWidth="1"/>
    <col min="10243" max="10497" width="11.42578125" style="152"/>
    <col min="10498" max="10498" width="119.42578125" style="152" customWidth="1"/>
    <col min="10499" max="10753" width="11.42578125" style="152"/>
    <col min="10754" max="10754" width="119.42578125" style="152" customWidth="1"/>
    <col min="10755" max="11009" width="11.42578125" style="152"/>
    <col min="11010" max="11010" width="119.42578125" style="152" customWidth="1"/>
    <col min="11011" max="11265" width="11.42578125" style="152"/>
    <col min="11266" max="11266" width="119.42578125" style="152" customWidth="1"/>
    <col min="11267" max="11521" width="11.42578125" style="152"/>
    <col min="11522" max="11522" width="119.42578125" style="152" customWidth="1"/>
    <col min="11523" max="11777" width="11.42578125" style="152"/>
    <col min="11778" max="11778" width="119.42578125" style="152" customWidth="1"/>
    <col min="11779" max="12033" width="11.42578125" style="152"/>
    <col min="12034" max="12034" width="119.42578125" style="152" customWidth="1"/>
    <col min="12035" max="12289" width="11.42578125" style="152"/>
    <col min="12290" max="12290" width="119.42578125" style="152" customWidth="1"/>
    <col min="12291" max="12545" width="11.42578125" style="152"/>
    <col min="12546" max="12546" width="119.42578125" style="152" customWidth="1"/>
    <col min="12547" max="12801" width="11.42578125" style="152"/>
    <col min="12802" max="12802" width="119.42578125" style="152" customWidth="1"/>
    <col min="12803" max="13057" width="11.42578125" style="152"/>
    <col min="13058" max="13058" width="119.42578125" style="152" customWidth="1"/>
    <col min="13059" max="13313" width="11.42578125" style="152"/>
    <col min="13314" max="13314" width="119.42578125" style="152" customWidth="1"/>
    <col min="13315" max="13569" width="11.42578125" style="152"/>
    <col min="13570" max="13570" width="119.42578125" style="152" customWidth="1"/>
    <col min="13571" max="13825" width="11.42578125" style="152"/>
    <col min="13826" max="13826" width="119.42578125" style="152" customWidth="1"/>
    <col min="13827" max="14081" width="11.42578125" style="152"/>
    <col min="14082" max="14082" width="119.42578125" style="152" customWidth="1"/>
    <col min="14083" max="14337" width="11.42578125" style="152"/>
    <col min="14338" max="14338" width="119.42578125" style="152" customWidth="1"/>
    <col min="14339" max="14593" width="11.42578125" style="152"/>
    <col min="14594" max="14594" width="119.42578125" style="152" customWidth="1"/>
    <col min="14595" max="14849" width="11.42578125" style="152"/>
    <col min="14850" max="14850" width="119.42578125" style="152" customWidth="1"/>
    <col min="14851" max="15105" width="11.42578125" style="152"/>
    <col min="15106" max="15106" width="119.42578125" style="152" customWidth="1"/>
    <col min="15107" max="15361" width="11.42578125" style="152"/>
    <col min="15362" max="15362" width="119.42578125" style="152" customWidth="1"/>
    <col min="15363" max="15617" width="11.42578125" style="152"/>
    <col min="15618" max="15618" width="119.42578125" style="152" customWidth="1"/>
    <col min="15619" max="15873" width="11.42578125" style="152"/>
    <col min="15874" max="15874" width="119.42578125" style="152" customWidth="1"/>
    <col min="15875" max="16129" width="11.42578125" style="152"/>
    <col min="16130" max="16130" width="119.42578125" style="152" customWidth="1"/>
    <col min="16131" max="16384" width="11.42578125" style="152"/>
  </cols>
  <sheetData>
    <row r="2" spans="1:13" ht="12.75" customHeight="1" x14ac:dyDescent="0.2">
      <c r="B2" s="157" t="s">
        <v>228</v>
      </c>
      <c r="C2" s="157"/>
      <c r="D2" s="157"/>
      <c r="E2" s="157"/>
      <c r="F2" s="157"/>
      <c r="G2" s="157"/>
      <c r="H2" s="157"/>
      <c r="I2" s="157"/>
      <c r="J2" s="157"/>
      <c r="K2" s="157"/>
      <c r="L2" s="157"/>
      <c r="M2" s="157"/>
    </row>
    <row r="3" spans="1:13" ht="19.5" customHeight="1" x14ac:dyDescent="0.2">
      <c r="A3" s="152" t="s">
        <v>167</v>
      </c>
      <c r="B3" s="157"/>
      <c r="C3" s="157"/>
      <c r="D3" s="157"/>
      <c r="E3" s="157"/>
      <c r="F3" s="157"/>
      <c r="G3" s="157"/>
      <c r="H3" s="157"/>
      <c r="I3" s="157"/>
      <c r="J3" s="157"/>
      <c r="K3" s="157"/>
      <c r="L3" s="157"/>
      <c r="M3" s="157"/>
    </row>
    <row r="4" spans="1:13" x14ac:dyDescent="0.2">
      <c r="B4" s="157"/>
      <c r="C4" s="157"/>
      <c r="D4" s="157"/>
      <c r="E4" s="157"/>
      <c r="F4" s="157"/>
      <c r="G4" s="157"/>
      <c r="H4" s="157"/>
      <c r="I4" s="157"/>
      <c r="J4" s="157"/>
      <c r="K4" s="157"/>
      <c r="L4" s="157"/>
      <c r="M4" s="157"/>
    </row>
    <row r="5" spans="1:13" x14ac:dyDescent="0.2">
      <c r="A5" s="152" t="s">
        <v>168</v>
      </c>
      <c r="B5" s="157"/>
      <c r="C5" s="157"/>
      <c r="D5" s="157"/>
      <c r="E5" s="157"/>
      <c r="F5" s="157"/>
      <c r="G5" s="157"/>
      <c r="H5" s="157"/>
      <c r="I5" s="157"/>
      <c r="J5" s="157"/>
      <c r="K5" s="157"/>
      <c r="L5" s="157"/>
      <c r="M5" s="157"/>
    </row>
    <row r="6" spans="1:13" x14ac:dyDescent="0.2">
      <c r="B6" s="157"/>
      <c r="C6" s="157"/>
      <c r="D6" s="157"/>
      <c r="E6" s="157"/>
      <c r="F6" s="157"/>
      <c r="G6" s="157"/>
      <c r="H6" s="157"/>
      <c r="I6" s="157"/>
      <c r="J6" s="157"/>
      <c r="K6" s="157"/>
      <c r="L6" s="157"/>
      <c r="M6" s="157"/>
    </row>
    <row r="7" spans="1:13" x14ac:dyDescent="0.2">
      <c r="A7" s="152" t="s">
        <v>169</v>
      </c>
      <c r="B7" s="157"/>
      <c r="C7" s="157"/>
      <c r="D7" s="157"/>
      <c r="E7" s="157"/>
      <c r="F7" s="157"/>
      <c r="G7" s="157"/>
      <c r="H7" s="157"/>
      <c r="I7" s="157"/>
      <c r="J7" s="157"/>
      <c r="K7" s="157"/>
      <c r="L7" s="157"/>
      <c r="M7" s="157"/>
    </row>
    <row r="8" spans="1:13" x14ac:dyDescent="0.2">
      <c r="B8" s="157"/>
      <c r="C8" s="157"/>
      <c r="D8" s="157"/>
      <c r="E8" s="157"/>
      <c r="F8" s="157"/>
      <c r="G8" s="157"/>
      <c r="H8" s="157"/>
      <c r="I8" s="157"/>
      <c r="J8" s="157"/>
      <c r="K8" s="157"/>
      <c r="L8" s="157"/>
      <c r="M8" s="157"/>
    </row>
    <row r="9" spans="1:13" x14ac:dyDescent="0.2">
      <c r="B9" s="157"/>
      <c r="C9" s="157"/>
      <c r="D9" s="157"/>
      <c r="E9" s="157"/>
      <c r="F9" s="157"/>
      <c r="G9" s="157"/>
      <c r="H9" s="157"/>
      <c r="I9" s="157"/>
      <c r="J9" s="157"/>
      <c r="K9" s="157"/>
      <c r="L9" s="157"/>
      <c r="M9" s="157"/>
    </row>
    <row r="10" spans="1:13" ht="15" customHeight="1" x14ac:dyDescent="0.2">
      <c r="B10" s="157"/>
      <c r="C10" s="157"/>
      <c r="D10" s="157"/>
      <c r="E10" s="157"/>
      <c r="F10" s="157"/>
      <c r="G10" s="157"/>
      <c r="H10" s="157"/>
      <c r="I10" s="157"/>
      <c r="J10" s="157"/>
      <c r="K10" s="157"/>
      <c r="L10" s="157"/>
      <c r="M10" s="157"/>
    </row>
    <row r="11" spans="1:13" x14ac:dyDescent="0.2">
      <c r="B11" s="157"/>
      <c r="C11" s="157"/>
      <c r="D11" s="157"/>
      <c r="E11" s="157"/>
      <c r="F11" s="157"/>
      <c r="G11" s="157"/>
      <c r="H11" s="157"/>
      <c r="I11" s="157"/>
      <c r="J11" s="157"/>
      <c r="K11" s="157"/>
      <c r="L11" s="157"/>
      <c r="M11" s="157"/>
    </row>
    <row r="12" spans="1:13" x14ac:dyDescent="0.2">
      <c r="B12" s="157"/>
      <c r="C12" s="157"/>
      <c r="D12" s="157"/>
      <c r="E12" s="157"/>
      <c r="F12" s="157"/>
      <c r="G12" s="157"/>
      <c r="H12" s="157"/>
      <c r="I12" s="157"/>
      <c r="J12" s="157"/>
      <c r="K12" s="157"/>
      <c r="L12" s="157"/>
      <c r="M12" s="157"/>
    </row>
    <row r="13" spans="1:13" x14ac:dyDescent="0.2">
      <c r="B13" s="157"/>
      <c r="C13" s="157"/>
      <c r="D13" s="157"/>
      <c r="E13" s="157"/>
      <c r="F13" s="157"/>
      <c r="G13" s="157"/>
      <c r="H13" s="157"/>
      <c r="I13" s="157"/>
      <c r="J13" s="157"/>
      <c r="K13" s="157"/>
      <c r="L13" s="157"/>
      <c r="M13" s="157"/>
    </row>
    <row r="14" spans="1:13" x14ac:dyDescent="0.2">
      <c r="B14" s="157"/>
      <c r="C14" s="157"/>
      <c r="D14" s="157"/>
      <c r="E14" s="157"/>
      <c r="F14" s="157"/>
      <c r="G14" s="157"/>
      <c r="H14" s="157"/>
      <c r="I14" s="157"/>
      <c r="J14" s="157"/>
      <c r="K14" s="157"/>
      <c r="L14" s="157"/>
      <c r="M14" s="157"/>
    </row>
    <row r="15" spans="1:13" x14ac:dyDescent="0.2">
      <c r="B15" s="157"/>
      <c r="C15" s="157"/>
      <c r="D15" s="157"/>
      <c r="E15" s="157"/>
      <c r="F15" s="157"/>
      <c r="G15" s="157"/>
      <c r="H15" s="157"/>
      <c r="I15" s="157"/>
      <c r="J15" s="157"/>
      <c r="K15" s="157"/>
      <c r="L15" s="157"/>
      <c r="M15" s="157"/>
    </row>
    <row r="16" spans="1:13" x14ac:dyDescent="0.2">
      <c r="B16" s="157"/>
      <c r="C16" s="157"/>
      <c r="D16" s="157"/>
      <c r="E16" s="157"/>
      <c r="F16" s="157"/>
      <c r="G16" s="157"/>
      <c r="H16" s="157"/>
      <c r="I16" s="157"/>
      <c r="J16" s="157"/>
      <c r="K16" s="157"/>
      <c r="L16" s="157"/>
      <c r="M16" s="157"/>
    </row>
    <row r="17" spans="2:13" x14ac:dyDescent="0.2">
      <c r="B17" s="157"/>
      <c r="C17" s="157"/>
      <c r="D17" s="157"/>
      <c r="E17" s="157"/>
      <c r="F17" s="157"/>
      <c r="G17" s="157"/>
      <c r="H17" s="157"/>
      <c r="I17" s="157"/>
      <c r="J17" s="157"/>
      <c r="K17" s="157"/>
      <c r="L17" s="157"/>
      <c r="M17" s="157"/>
    </row>
    <row r="18" spans="2:13" x14ac:dyDescent="0.2">
      <c r="B18" s="157"/>
      <c r="C18" s="157"/>
      <c r="D18" s="157"/>
      <c r="E18" s="157"/>
      <c r="F18" s="157"/>
      <c r="G18" s="157"/>
      <c r="H18" s="157"/>
      <c r="I18" s="157"/>
      <c r="J18" s="157"/>
      <c r="K18" s="157"/>
      <c r="L18" s="157"/>
      <c r="M18" s="157"/>
    </row>
    <row r="19" spans="2:13" x14ac:dyDescent="0.2">
      <c r="B19" s="157"/>
      <c r="C19" s="157"/>
      <c r="D19" s="157"/>
      <c r="E19" s="157"/>
      <c r="F19" s="157"/>
      <c r="G19" s="157"/>
      <c r="H19" s="157"/>
      <c r="I19" s="157"/>
      <c r="J19" s="157"/>
      <c r="K19" s="157"/>
      <c r="L19" s="157"/>
      <c r="M19" s="157"/>
    </row>
    <row r="20" spans="2:13" x14ac:dyDescent="0.2">
      <c r="B20" s="157"/>
      <c r="C20" s="157"/>
      <c r="D20" s="157"/>
      <c r="E20" s="157"/>
      <c r="F20" s="157"/>
      <c r="G20" s="157"/>
      <c r="H20" s="157"/>
      <c r="I20" s="157"/>
      <c r="J20" s="157"/>
      <c r="K20" s="157"/>
      <c r="L20" s="157"/>
      <c r="M20" s="157"/>
    </row>
    <row r="21" spans="2:13" x14ac:dyDescent="0.2">
      <c r="B21" s="157"/>
      <c r="C21" s="157"/>
      <c r="D21" s="157"/>
      <c r="E21" s="157"/>
      <c r="F21" s="157"/>
      <c r="G21" s="157"/>
      <c r="H21" s="157"/>
      <c r="I21" s="157"/>
      <c r="J21" s="157"/>
      <c r="K21" s="157"/>
      <c r="L21" s="157"/>
      <c r="M21" s="157"/>
    </row>
    <row r="22" spans="2:13" x14ac:dyDescent="0.2">
      <c r="B22" s="157"/>
      <c r="C22" s="157"/>
      <c r="D22" s="157"/>
      <c r="E22" s="157"/>
      <c r="F22" s="157"/>
      <c r="G22" s="157"/>
      <c r="H22" s="157"/>
      <c r="I22" s="157"/>
      <c r="J22" s="157"/>
      <c r="K22" s="157"/>
      <c r="L22" s="157"/>
      <c r="M22" s="157"/>
    </row>
    <row r="23" spans="2:13" x14ac:dyDescent="0.2">
      <c r="B23" s="157"/>
      <c r="C23" s="157"/>
      <c r="D23" s="157"/>
      <c r="E23" s="157"/>
      <c r="F23" s="157"/>
      <c r="G23" s="157"/>
      <c r="H23" s="157"/>
      <c r="I23" s="157"/>
      <c r="J23" s="157"/>
      <c r="K23" s="157"/>
      <c r="L23" s="157"/>
      <c r="M23" s="157"/>
    </row>
    <row r="24" spans="2:13" x14ac:dyDescent="0.2">
      <c r="B24" s="157"/>
      <c r="C24" s="157"/>
      <c r="D24" s="157"/>
      <c r="E24" s="157"/>
      <c r="F24" s="157"/>
      <c r="G24" s="157"/>
      <c r="H24" s="157"/>
      <c r="I24" s="157"/>
      <c r="J24" s="157"/>
      <c r="K24" s="157"/>
      <c r="L24" s="157"/>
      <c r="M24" s="157"/>
    </row>
    <row r="25" spans="2:13" x14ac:dyDescent="0.2">
      <c r="B25" s="153"/>
      <c r="D25" s="158" t="s">
        <v>226</v>
      </c>
      <c r="E25" s="158"/>
      <c r="F25" s="158"/>
      <c r="G25" s="158"/>
      <c r="H25" s="158"/>
      <c r="I25" s="158"/>
    </row>
    <row r="26" spans="2:13" x14ac:dyDescent="0.2">
      <c r="B26" s="153"/>
      <c r="D26" s="158"/>
      <c r="E26" s="158"/>
      <c r="F26" s="158"/>
      <c r="G26" s="158"/>
      <c r="H26" s="158"/>
      <c r="I26" s="158"/>
    </row>
    <row r="27" spans="2:13" x14ac:dyDescent="0.2">
      <c r="B27" s="153"/>
      <c r="D27" s="158"/>
      <c r="E27" s="158"/>
      <c r="F27" s="158"/>
      <c r="G27" s="158"/>
      <c r="H27" s="158"/>
      <c r="I27" s="158"/>
    </row>
    <row r="28" spans="2:13" x14ac:dyDescent="0.2">
      <c r="B28" s="153"/>
      <c r="D28" s="158"/>
      <c r="E28" s="158"/>
      <c r="F28" s="158"/>
      <c r="G28" s="158"/>
      <c r="H28" s="158"/>
      <c r="I28" s="158"/>
    </row>
    <row r="29" spans="2:13" x14ac:dyDescent="0.2">
      <c r="B29" s="153"/>
    </row>
    <row r="30" spans="2:13" x14ac:dyDescent="0.2">
      <c r="B30" s="153"/>
    </row>
    <row r="31" spans="2:13" x14ac:dyDescent="0.2">
      <c r="B31" s="153"/>
    </row>
    <row r="32" spans="2:13" x14ac:dyDescent="0.2">
      <c r="B32" s="153"/>
    </row>
    <row r="33" spans="2:11" x14ac:dyDescent="0.2">
      <c r="B33" s="153"/>
    </row>
    <row r="34" spans="2:11" x14ac:dyDescent="0.2">
      <c r="B34" s="154"/>
      <c r="D34" s="152" t="s">
        <v>230</v>
      </c>
      <c r="F34" s="152" t="s">
        <v>227</v>
      </c>
      <c r="I34" s="152">
        <v>944.43</v>
      </c>
    </row>
    <row r="35" spans="2:11" x14ac:dyDescent="0.2">
      <c r="F35" s="155" t="s">
        <v>106</v>
      </c>
      <c r="I35" s="152">
        <v>272.22000000000003</v>
      </c>
    </row>
    <row r="36" spans="2:11" x14ac:dyDescent="0.2">
      <c r="F36" s="155" t="s">
        <v>107</v>
      </c>
      <c r="I36" s="152">
        <f>ROUNDUP((I35*I34/100),2)</f>
        <v>2570.9300000000003</v>
      </c>
    </row>
    <row r="40" spans="2:11" x14ac:dyDescent="0.2">
      <c r="C40" s="159" t="s">
        <v>229</v>
      </c>
      <c r="D40" s="159"/>
      <c r="E40" s="159"/>
      <c r="F40" s="159"/>
      <c r="G40" s="159"/>
      <c r="H40" s="159"/>
      <c r="I40" s="159"/>
      <c r="J40" s="159"/>
      <c r="K40" s="159"/>
    </row>
    <row r="41" spans="2:11" x14ac:dyDescent="0.2">
      <c r="C41" s="159"/>
      <c r="D41" s="159"/>
      <c r="E41" s="159"/>
      <c r="F41" s="159"/>
      <c r="G41" s="159"/>
      <c r="H41" s="159"/>
      <c r="I41" s="159"/>
      <c r="J41" s="159"/>
      <c r="K41" s="159"/>
    </row>
    <row r="42" spans="2:11" x14ac:dyDescent="0.2">
      <c r="C42" s="159"/>
      <c r="D42" s="159"/>
      <c r="E42" s="159"/>
      <c r="F42" s="159"/>
      <c r="G42" s="159"/>
      <c r="H42" s="159"/>
      <c r="I42" s="159"/>
      <c r="J42" s="159"/>
      <c r="K42" s="159"/>
    </row>
  </sheetData>
  <mergeCells count="3">
    <mergeCell ref="B2:M24"/>
    <mergeCell ref="D25:I28"/>
    <mergeCell ref="C40:K42"/>
  </mergeCells>
  <phoneticPr fontId="25" type="noConversion"/>
  <hyperlinks>
    <hyperlink ref="D25:I28" location="'Rente alle Jahreseinkommen'!A1" display="Zum Tabellenblatt &quot;Rente - alle Jahreseinkommen&quot;" xr:uid="{78F7703B-86F9-457A-A6AC-7458240DE20C}"/>
    <hyperlink ref="D40:I42" location="'Bulletin de salaire'!A1" display="Hier kannst du nicht deine Rente sondern deinen Monatslohn nachrechnen" xr:uid="{9589AD06-30C6-45D5-A576-186AA25DDD25}"/>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C13"/>
  <sheetViews>
    <sheetView topLeftCell="A7" workbookViewId="0">
      <selection activeCell="B12" sqref="B12"/>
    </sheetView>
  </sheetViews>
  <sheetFormatPr baseColWidth="10" defaultColWidth="9.140625" defaultRowHeight="12.75" x14ac:dyDescent="0.2"/>
  <sheetData>
    <row r="4" spans="1:3" x14ac:dyDescent="0.2">
      <c r="A4">
        <v>936</v>
      </c>
      <c r="B4">
        <v>40000</v>
      </c>
      <c r="C4">
        <f>IF(AND($B$12&gt;=A4,$B$12&lt;B4),144,0)</f>
        <v>0</v>
      </c>
    </row>
    <row r="5" spans="1:3" x14ac:dyDescent="0.2">
      <c r="A5">
        <v>40001</v>
      </c>
      <c r="B5">
        <v>79999</v>
      </c>
      <c r="C5">
        <f>IF(AND($B$12&gt;=A5,$B$12&lt;B5),144-($B$12-40000)*0.0036,0)</f>
        <v>0</v>
      </c>
    </row>
    <row r="12" spans="1:3" x14ac:dyDescent="0.2">
      <c r="A12" s="73" t="s">
        <v>118</v>
      </c>
      <c r="B12" s="84">
        <f>('Bulletin de salaire'!G43)*12</f>
        <v>136380.24</v>
      </c>
    </row>
    <row r="13" spans="1:3" x14ac:dyDescent="0.2">
      <c r="A13" s="85" t="s">
        <v>164</v>
      </c>
      <c r="B13">
        <f>SUM(C2:C9)</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I25"/>
  <sheetViews>
    <sheetView workbookViewId="0">
      <pane xSplit="3" topLeftCell="D1" activePane="topRight" state="frozen"/>
      <selection pane="topRight" activeCell="C40" sqref="C40"/>
    </sheetView>
  </sheetViews>
  <sheetFormatPr baseColWidth="10" defaultColWidth="9.140625" defaultRowHeight="12.75" x14ac:dyDescent="0.2"/>
  <cols>
    <col min="2" max="2" width="5.140625" customWidth="1"/>
    <col min="3" max="3" width="31.85546875" customWidth="1"/>
    <col min="4" max="4" width="6.140625" style="81" customWidth="1"/>
    <col min="5" max="6" width="5.7109375" style="82" customWidth="1"/>
    <col min="7" max="10" width="5.7109375" customWidth="1"/>
    <col min="11" max="13" width="5.7109375" style="82" customWidth="1"/>
    <col min="14" max="15" width="5.7109375" customWidth="1"/>
    <col min="16" max="16" width="5.7109375" style="82" customWidth="1"/>
    <col min="17" max="18" width="5.7109375" customWidth="1"/>
    <col min="19" max="24" width="5.7109375" style="82" customWidth="1"/>
    <col min="25" max="35" width="5.7109375" customWidth="1"/>
  </cols>
  <sheetData>
    <row r="2" spans="1:35" x14ac:dyDescent="0.2">
      <c r="D2" s="81" t="s">
        <v>140</v>
      </c>
    </row>
    <row r="6" spans="1:35" x14ac:dyDescent="0.2">
      <c r="D6" s="81" t="s">
        <v>139</v>
      </c>
      <c r="E6" s="82">
        <v>1</v>
      </c>
      <c r="F6" s="82">
        <v>2</v>
      </c>
      <c r="G6">
        <v>3</v>
      </c>
      <c r="H6">
        <v>4</v>
      </c>
      <c r="I6">
        <v>5</v>
      </c>
      <c r="J6">
        <v>6</v>
      </c>
      <c r="K6" s="82">
        <v>7</v>
      </c>
      <c r="L6" s="82">
        <v>8</v>
      </c>
      <c r="M6" s="82">
        <v>9</v>
      </c>
      <c r="N6">
        <v>10</v>
      </c>
      <c r="O6">
        <v>11</v>
      </c>
      <c r="P6" s="82">
        <v>12</v>
      </c>
      <c r="Q6">
        <v>13</v>
      </c>
      <c r="R6">
        <v>14</v>
      </c>
      <c r="S6" s="82">
        <v>15</v>
      </c>
      <c r="T6" s="82">
        <v>16</v>
      </c>
      <c r="U6" s="82">
        <v>17</v>
      </c>
      <c r="V6" s="82">
        <v>18</v>
      </c>
      <c r="W6" s="82">
        <v>19</v>
      </c>
      <c r="X6" s="82">
        <v>20</v>
      </c>
      <c r="Y6">
        <v>21</v>
      </c>
      <c r="Z6">
        <v>22</v>
      </c>
      <c r="AA6">
        <v>23</v>
      </c>
      <c r="AB6">
        <v>24</v>
      </c>
      <c r="AC6">
        <v>25</v>
      </c>
      <c r="AD6">
        <v>26</v>
      </c>
      <c r="AE6">
        <v>27</v>
      </c>
      <c r="AF6">
        <v>28</v>
      </c>
      <c r="AG6">
        <v>29</v>
      </c>
      <c r="AH6">
        <v>30</v>
      </c>
      <c r="AI6">
        <v>31</v>
      </c>
    </row>
    <row r="7" spans="1:35" x14ac:dyDescent="0.2">
      <c r="A7">
        <v>22.5</v>
      </c>
      <c r="B7" t="s">
        <v>15</v>
      </c>
      <c r="C7" t="s">
        <v>16</v>
      </c>
      <c r="D7" s="81">
        <f>SUM(E7:AI7)</f>
        <v>22.5</v>
      </c>
      <c r="E7" s="82">
        <v>9</v>
      </c>
      <c r="F7" s="82">
        <v>8.5</v>
      </c>
      <c r="X7" s="82">
        <v>5</v>
      </c>
    </row>
    <row r="8" spans="1:35" x14ac:dyDescent="0.2">
      <c r="A8">
        <v>90</v>
      </c>
      <c r="B8" t="s">
        <v>17</v>
      </c>
      <c r="C8" t="s">
        <v>18</v>
      </c>
      <c r="D8" s="81">
        <f t="shared" ref="D8:D25" si="0">SUM(E8:AI8)</f>
        <v>90</v>
      </c>
      <c r="K8" s="82">
        <v>2</v>
      </c>
      <c r="L8" s="82">
        <v>24</v>
      </c>
      <c r="M8" s="82">
        <v>24</v>
      </c>
      <c r="P8" s="82">
        <v>2</v>
      </c>
      <c r="U8" s="82">
        <v>8</v>
      </c>
      <c r="W8" s="82">
        <v>9</v>
      </c>
      <c r="AA8">
        <v>21</v>
      </c>
    </row>
    <row r="9" spans="1:35" x14ac:dyDescent="0.2">
      <c r="A9">
        <v>51</v>
      </c>
      <c r="B9" t="s">
        <v>19</v>
      </c>
      <c r="C9" t="s">
        <v>20</v>
      </c>
      <c r="D9" s="81">
        <f t="shared" si="0"/>
        <v>51</v>
      </c>
      <c r="S9" s="82">
        <v>24</v>
      </c>
      <c r="T9" s="82">
        <v>18</v>
      </c>
      <c r="V9" s="82">
        <v>9</v>
      </c>
    </row>
    <row r="10" spans="1:35" x14ac:dyDescent="0.2">
      <c r="B10" t="s">
        <v>21</v>
      </c>
      <c r="C10" t="s">
        <v>22</v>
      </c>
      <c r="D10" s="81">
        <f t="shared" si="0"/>
        <v>0</v>
      </c>
    </row>
    <row r="11" spans="1:35" x14ac:dyDescent="0.2">
      <c r="A11">
        <v>22.5</v>
      </c>
      <c r="B11" t="s">
        <v>23</v>
      </c>
      <c r="C11" t="s">
        <v>24</v>
      </c>
      <c r="D11" s="81">
        <f t="shared" si="0"/>
        <v>22.5</v>
      </c>
      <c r="E11" s="82">
        <v>9</v>
      </c>
      <c r="F11" s="82">
        <v>8.5</v>
      </c>
      <c r="X11" s="82">
        <v>5</v>
      </c>
    </row>
    <row r="12" spans="1:35" x14ac:dyDescent="0.2">
      <c r="A12">
        <v>8.5</v>
      </c>
      <c r="B12" t="s">
        <v>25</v>
      </c>
      <c r="C12" t="s">
        <v>26</v>
      </c>
      <c r="D12" s="81">
        <f t="shared" si="0"/>
        <v>0</v>
      </c>
    </row>
    <row r="13" spans="1:35" x14ac:dyDescent="0.2">
      <c r="B13" t="s">
        <v>27</v>
      </c>
      <c r="C13" t="s">
        <v>28</v>
      </c>
      <c r="D13" s="81">
        <f t="shared" si="0"/>
        <v>0</v>
      </c>
    </row>
    <row r="14" spans="1:35" x14ac:dyDescent="0.2">
      <c r="A14">
        <v>59</v>
      </c>
      <c r="B14" t="s">
        <v>29</v>
      </c>
      <c r="C14" t="s">
        <v>30</v>
      </c>
      <c r="D14" s="81">
        <f t="shared" si="0"/>
        <v>59</v>
      </c>
      <c r="L14" s="82">
        <v>14</v>
      </c>
      <c r="M14" s="82">
        <v>14</v>
      </c>
      <c r="U14" s="82">
        <v>8</v>
      </c>
      <c r="W14" s="82">
        <v>9</v>
      </c>
      <c r="AA14">
        <v>14</v>
      </c>
    </row>
    <row r="15" spans="1:35" x14ac:dyDescent="0.2">
      <c r="A15">
        <v>44</v>
      </c>
      <c r="B15" t="s">
        <v>31</v>
      </c>
      <c r="C15" t="s">
        <v>32</v>
      </c>
      <c r="D15" s="81">
        <f t="shared" si="0"/>
        <v>44</v>
      </c>
      <c r="M15" s="82">
        <v>24</v>
      </c>
      <c r="AA15">
        <v>20</v>
      </c>
    </row>
    <row r="16" spans="1:35" x14ac:dyDescent="0.2">
      <c r="B16" t="s">
        <v>33</v>
      </c>
      <c r="C16" t="s">
        <v>34</v>
      </c>
      <c r="D16" s="81">
        <f t="shared" si="0"/>
        <v>0</v>
      </c>
    </row>
    <row r="17" spans="1:27" x14ac:dyDescent="0.2">
      <c r="A17">
        <v>37</v>
      </c>
      <c r="B17" t="s">
        <v>35</v>
      </c>
      <c r="C17" t="s">
        <v>36</v>
      </c>
      <c r="D17" s="81">
        <f t="shared" si="0"/>
        <v>37</v>
      </c>
      <c r="S17" s="82">
        <v>14</v>
      </c>
      <c r="T17" s="82">
        <v>14</v>
      </c>
      <c r="V17" s="82">
        <v>9</v>
      </c>
    </row>
    <row r="18" spans="1:27" x14ac:dyDescent="0.2">
      <c r="A18">
        <v>18</v>
      </c>
      <c r="B18" t="s">
        <v>38</v>
      </c>
      <c r="C18" t="s">
        <v>39</v>
      </c>
      <c r="D18" s="81">
        <f t="shared" si="0"/>
        <v>18</v>
      </c>
      <c r="T18" s="82">
        <v>18</v>
      </c>
    </row>
    <row r="19" spans="1:27" x14ac:dyDescent="0.2">
      <c r="A19">
        <v>23</v>
      </c>
      <c r="B19" t="s">
        <v>41</v>
      </c>
      <c r="C19" t="s">
        <v>42</v>
      </c>
      <c r="D19" s="81">
        <f t="shared" si="0"/>
        <v>23</v>
      </c>
      <c r="S19" s="82">
        <v>23</v>
      </c>
    </row>
    <row r="20" spans="1:27" x14ac:dyDescent="0.2">
      <c r="A20">
        <v>12.5</v>
      </c>
      <c r="B20" t="s">
        <v>44</v>
      </c>
      <c r="C20" t="s">
        <v>45</v>
      </c>
      <c r="D20" s="81">
        <f t="shared" si="0"/>
        <v>12.5</v>
      </c>
      <c r="F20" s="82">
        <v>3.5</v>
      </c>
      <c r="T20" s="82">
        <v>6</v>
      </c>
      <c r="AA20">
        <v>3</v>
      </c>
    </row>
    <row r="21" spans="1:27" x14ac:dyDescent="0.2">
      <c r="B21" t="s">
        <v>46</v>
      </c>
      <c r="C21" t="s">
        <v>47</v>
      </c>
      <c r="D21" s="81">
        <f t="shared" si="0"/>
        <v>0</v>
      </c>
    </row>
    <row r="22" spans="1:27" x14ac:dyDescent="0.2">
      <c r="A22">
        <v>4</v>
      </c>
      <c r="B22" t="s">
        <v>48</v>
      </c>
      <c r="C22" t="s">
        <v>49</v>
      </c>
      <c r="D22" s="81">
        <f t="shared" si="0"/>
        <v>7</v>
      </c>
      <c r="E22" s="82">
        <v>3</v>
      </c>
      <c r="X22" s="82">
        <v>4</v>
      </c>
    </row>
    <row r="23" spans="1:27" x14ac:dyDescent="0.2">
      <c r="B23" t="s">
        <v>50</v>
      </c>
      <c r="C23" t="s">
        <v>136</v>
      </c>
      <c r="D23" s="81">
        <f t="shared" si="0"/>
        <v>0</v>
      </c>
    </row>
    <row r="24" spans="1:27" x14ac:dyDescent="0.2">
      <c r="B24" t="s">
        <v>52</v>
      </c>
      <c r="C24" t="s">
        <v>137</v>
      </c>
      <c r="D24" s="81">
        <f t="shared" si="0"/>
        <v>0</v>
      </c>
    </row>
    <row r="25" spans="1:27" x14ac:dyDescent="0.2">
      <c r="A25">
        <v>4.5</v>
      </c>
      <c r="B25" t="s">
        <v>54</v>
      </c>
      <c r="C25" t="s">
        <v>138</v>
      </c>
      <c r="D25" s="81">
        <f t="shared" si="0"/>
        <v>1.5</v>
      </c>
      <c r="F25" s="82">
        <v>0.5</v>
      </c>
      <c r="U25" s="82">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19DB-0E9D-4F9B-98A8-F78BD7053541}">
  <dimension ref="A1:I93"/>
  <sheetViews>
    <sheetView workbookViewId="0">
      <selection activeCell="L57" sqref="L57"/>
    </sheetView>
  </sheetViews>
  <sheetFormatPr baseColWidth="10" defaultColWidth="9.140625" defaultRowHeight="12.75" x14ac:dyDescent="0.2"/>
  <cols>
    <col min="1" max="1" width="6.5703125" style="87" customWidth="1"/>
    <col min="2" max="2" width="9.140625" style="87"/>
    <col min="3" max="3" width="10.28515625" style="88" customWidth="1"/>
    <col min="4" max="4" width="16.5703125" style="88" customWidth="1"/>
    <col min="5" max="5" width="16" style="94" customWidth="1"/>
    <col min="6" max="6" width="12.7109375" style="102" customWidth="1"/>
    <col min="7" max="7" width="14.42578125" style="94" customWidth="1"/>
    <col min="8" max="8" width="10.7109375" style="87" customWidth="1"/>
    <col min="9" max="9" width="22.5703125" style="87" customWidth="1"/>
    <col min="10" max="256" width="9.140625" style="87"/>
    <col min="257" max="257" width="6.5703125" style="87" customWidth="1"/>
    <col min="258" max="258" width="9.140625" style="87"/>
    <col min="259" max="259" width="10.28515625" style="87" customWidth="1"/>
    <col min="260" max="260" width="16.5703125" style="87" customWidth="1"/>
    <col min="261" max="261" width="16" style="87" customWidth="1"/>
    <col min="262" max="262" width="12.7109375" style="87" customWidth="1"/>
    <col min="263" max="263" width="14.42578125" style="87" customWidth="1"/>
    <col min="264" max="264" width="10.7109375" style="87" customWidth="1"/>
    <col min="265" max="265" width="22.5703125" style="87" customWidth="1"/>
    <col min="266" max="512" width="9.140625" style="87"/>
    <col min="513" max="513" width="6.5703125" style="87" customWidth="1"/>
    <col min="514" max="514" width="9.140625" style="87"/>
    <col min="515" max="515" width="10.28515625" style="87" customWidth="1"/>
    <col min="516" max="516" width="16.5703125" style="87" customWidth="1"/>
    <col min="517" max="517" width="16" style="87" customWidth="1"/>
    <col min="518" max="518" width="12.7109375" style="87" customWidth="1"/>
    <col min="519" max="519" width="14.42578125" style="87" customWidth="1"/>
    <col min="520" max="520" width="10.7109375" style="87" customWidth="1"/>
    <col min="521" max="521" width="22.5703125" style="87" customWidth="1"/>
    <col min="522" max="768" width="9.140625" style="87"/>
    <col min="769" max="769" width="6.5703125" style="87" customWidth="1"/>
    <col min="770" max="770" width="9.140625" style="87"/>
    <col min="771" max="771" width="10.28515625" style="87" customWidth="1"/>
    <col min="772" max="772" width="16.5703125" style="87" customWidth="1"/>
    <col min="773" max="773" width="16" style="87" customWidth="1"/>
    <col min="774" max="774" width="12.7109375" style="87" customWidth="1"/>
    <col min="775" max="775" width="14.42578125" style="87" customWidth="1"/>
    <col min="776" max="776" width="10.7109375" style="87" customWidth="1"/>
    <col min="777" max="777" width="22.5703125" style="87" customWidth="1"/>
    <col min="778" max="1024" width="9.140625" style="87"/>
    <col min="1025" max="1025" width="6.5703125" style="87" customWidth="1"/>
    <col min="1026" max="1026" width="9.140625" style="87"/>
    <col min="1027" max="1027" width="10.28515625" style="87" customWidth="1"/>
    <col min="1028" max="1028" width="16.5703125" style="87" customWidth="1"/>
    <col min="1029" max="1029" width="16" style="87" customWidth="1"/>
    <col min="1030" max="1030" width="12.7109375" style="87" customWidth="1"/>
    <col min="1031" max="1031" width="14.42578125" style="87" customWidth="1"/>
    <col min="1032" max="1032" width="10.7109375" style="87" customWidth="1"/>
    <col min="1033" max="1033" width="22.5703125" style="87" customWidth="1"/>
    <col min="1034" max="1280" width="9.140625" style="87"/>
    <col min="1281" max="1281" width="6.5703125" style="87" customWidth="1"/>
    <col min="1282" max="1282" width="9.140625" style="87"/>
    <col min="1283" max="1283" width="10.28515625" style="87" customWidth="1"/>
    <col min="1284" max="1284" width="16.5703125" style="87" customWidth="1"/>
    <col min="1285" max="1285" width="16" style="87" customWidth="1"/>
    <col min="1286" max="1286" width="12.7109375" style="87" customWidth="1"/>
    <col min="1287" max="1287" width="14.42578125" style="87" customWidth="1"/>
    <col min="1288" max="1288" width="10.7109375" style="87" customWidth="1"/>
    <col min="1289" max="1289" width="22.5703125" style="87" customWidth="1"/>
    <col min="1290" max="1536" width="9.140625" style="87"/>
    <col min="1537" max="1537" width="6.5703125" style="87" customWidth="1"/>
    <col min="1538" max="1538" width="9.140625" style="87"/>
    <col min="1539" max="1539" width="10.28515625" style="87" customWidth="1"/>
    <col min="1540" max="1540" width="16.5703125" style="87" customWidth="1"/>
    <col min="1541" max="1541" width="16" style="87" customWidth="1"/>
    <col min="1542" max="1542" width="12.7109375" style="87" customWidth="1"/>
    <col min="1543" max="1543" width="14.42578125" style="87" customWidth="1"/>
    <col min="1544" max="1544" width="10.7109375" style="87" customWidth="1"/>
    <col min="1545" max="1545" width="22.5703125" style="87" customWidth="1"/>
    <col min="1546" max="1792" width="9.140625" style="87"/>
    <col min="1793" max="1793" width="6.5703125" style="87" customWidth="1"/>
    <col min="1794" max="1794" width="9.140625" style="87"/>
    <col min="1795" max="1795" width="10.28515625" style="87" customWidth="1"/>
    <col min="1796" max="1796" width="16.5703125" style="87" customWidth="1"/>
    <col min="1797" max="1797" width="16" style="87" customWidth="1"/>
    <col min="1798" max="1798" width="12.7109375" style="87" customWidth="1"/>
    <col min="1799" max="1799" width="14.42578125" style="87" customWidth="1"/>
    <col min="1800" max="1800" width="10.7109375" style="87" customWidth="1"/>
    <col min="1801" max="1801" width="22.5703125" style="87" customWidth="1"/>
    <col min="1802" max="2048" width="9.140625" style="87"/>
    <col min="2049" max="2049" width="6.5703125" style="87" customWidth="1"/>
    <col min="2050" max="2050" width="9.140625" style="87"/>
    <col min="2051" max="2051" width="10.28515625" style="87" customWidth="1"/>
    <col min="2052" max="2052" width="16.5703125" style="87" customWidth="1"/>
    <col min="2053" max="2053" width="16" style="87" customWidth="1"/>
    <col min="2054" max="2054" width="12.7109375" style="87" customWidth="1"/>
    <col min="2055" max="2055" width="14.42578125" style="87" customWidth="1"/>
    <col min="2056" max="2056" width="10.7109375" style="87" customWidth="1"/>
    <col min="2057" max="2057" width="22.5703125" style="87" customWidth="1"/>
    <col min="2058" max="2304" width="9.140625" style="87"/>
    <col min="2305" max="2305" width="6.5703125" style="87" customWidth="1"/>
    <col min="2306" max="2306" width="9.140625" style="87"/>
    <col min="2307" max="2307" width="10.28515625" style="87" customWidth="1"/>
    <col min="2308" max="2308" width="16.5703125" style="87" customWidth="1"/>
    <col min="2309" max="2309" width="16" style="87" customWidth="1"/>
    <col min="2310" max="2310" width="12.7109375" style="87" customWidth="1"/>
    <col min="2311" max="2311" width="14.42578125" style="87" customWidth="1"/>
    <col min="2312" max="2312" width="10.7109375" style="87" customWidth="1"/>
    <col min="2313" max="2313" width="22.5703125" style="87" customWidth="1"/>
    <col min="2314" max="2560" width="9.140625" style="87"/>
    <col min="2561" max="2561" width="6.5703125" style="87" customWidth="1"/>
    <col min="2562" max="2562" width="9.140625" style="87"/>
    <col min="2563" max="2563" width="10.28515625" style="87" customWidth="1"/>
    <col min="2564" max="2564" width="16.5703125" style="87" customWidth="1"/>
    <col min="2565" max="2565" width="16" style="87" customWidth="1"/>
    <col min="2566" max="2566" width="12.7109375" style="87" customWidth="1"/>
    <col min="2567" max="2567" width="14.42578125" style="87" customWidth="1"/>
    <col min="2568" max="2568" width="10.7109375" style="87" customWidth="1"/>
    <col min="2569" max="2569" width="22.5703125" style="87" customWidth="1"/>
    <col min="2570" max="2816" width="9.140625" style="87"/>
    <col min="2817" max="2817" width="6.5703125" style="87" customWidth="1"/>
    <col min="2818" max="2818" width="9.140625" style="87"/>
    <col min="2819" max="2819" width="10.28515625" style="87" customWidth="1"/>
    <col min="2820" max="2820" width="16.5703125" style="87" customWidth="1"/>
    <col min="2821" max="2821" width="16" style="87" customWidth="1"/>
    <col min="2822" max="2822" width="12.7109375" style="87" customWidth="1"/>
    <col min="2823" max="2823" width="14.42578125" style="87" customWidth="1"/>
    <col min="2824" max="2824" width="10.7109375" style="87" customWidth="1"/>
    <col min="2825" max="2825" width="22.5703125" style="87" customWidth="1"/>
    <col min="2826" max="3072" width="9.140625" style="87"/>
    <col min="3073" max="3073" width="6.5703125" style="87" customWidth="1"/>
    <col min="3074" max="3074" width="9.140625" style="87"/>
    <col min="3075" max="3075" width="10.28515625" style="87" customWidth="1"/>
    <col min="3076" max="3076" width="16.5703125" style="87" customWidth="1"/>
    <col min="3077" max="3077" width="16" style="87" customWidth="1"/>
    <col min="3078" max="3078" width="12.7109375" style="87" customWidth="1"/>
    <col min="3079" max="3079" width="14.42578125" style="87" customWidth="1"/>
    <col min="3080" max="3080" width="10.7109375" style="87" customWidth="1"/>
    <col min="3081" max="3081" width="22.5703125" style="87" customWidth="1"/>
    <col min="3082" max="3328" width="9.140625" style="87"/>
    <col min="3329" max="3329" width="6.5703125" style="87" customWidth="1"/>
    <col min="3330" max="3330" width="9.140625" style="87"/>
    <col min="3331" max="3331" width="10.28515625" style="87" customWidth="1"/>
    <col min="3332" max="3332" width="16.5703125" style="87" customWidth="1"/>
    <col min="3333" max="3333" width="16" style="87" customWidth="1"/>
    <col min="3334" max="3334" width="12.7109375" style="87" customWidth="1"/>
    <col min="3335" max="3335" width="14.42578125" style="87" customWidth="1"/>
    <col min="3336" max="3336" width="10.7109375" style="87" customWidth="1"/>
    <col min="3337" max="3337" width="22.5703125" style="87" customWidth="1"/>
    <col min="3338" max="3584" width="9.140625" style="87"/>
    <col min="3585" max="3585" width="6.5703125" style="87" customWidth="1"/>
    <col min="3586" max="3586" width="9.140625" style="87"/>
    <col min="3587" max="3587" width="10.28515625" style="87" customWidth="1"/>
    <col min="3588" max="3588" width="16.5703125" style="87" customWidth="1"/>
    <col min="3589" max="3589" width="16" style="87" customWidth="1"/>
    <col min="3590" max="3590" width="12.7109375" style="87" customWidth="1"/>
    <col min="3591" max="3591" width="14.42578125" style="87" customWidth="1"/>
    <col min="3592" max="3592" width="10.7109375" style="87" customWidth="1"/>
    <col min="3593" max="3593" width="22.5703125" style="87" customWidth="1"/>
    <col min="3594" max="3840" width="9.140625" style="87"/>
    <col min="3841" max="3841" width="6.5703125" style="87" customWidth="1"/>
    <col min="3842" max="3842" width="9.140625" style="87"/>
    <col min="3843" max="3843" width="10.28515625" style="87" customWidth="1"/>
    <col min="3844" max="3844" width="16.5703125" style="87" customWidth="1"/>
    <col min="3845" max="3845" width="16" style="87" customWidth="1"/>
    <col min="3846" max="3846" width="12.7109375" style="87" customWidth="1"/>
    <col min="3847" max="3847" width="14.42578125" style="87" customWidth="1"/>
    <col min="3848" max="3848" width="10.7109375" style="87" customWidth="1"/>
    <col min="3849" max="3849" width="22.5703125" style="87" customWidth="1"/>
    <col min="3850" max="4096" width="9.140625" style="87"/>
    <col min="4097" max="4097" width="6.5703125" style="87" customWidth="1"/>
    <col min="4098" max="4098" width="9.140625" style="87"/>
    <col min="4099" max="4099" width="10.28515625" style="87" customWidth="1"/>
    <col min="4100" max="4100" width="16.5703125" style="87" customWidth="1"/>
    <col min="4101" max="4101" width="16" style="87" customWidth="1"/>
    <col min="4102" max="4102" width="12.7109375" style="87" customWidth="1"/>
    <col min="4103" max="4103" width="14.42578125" style="87" customWidth="1"/>
    <col min="4104" max="4104" width="10.7109375" style="87" customWidth="1"/>
    <col min="4105" max="4105" width="22.5703125" style="87" customWidth="1"/>
    <col min="4106" max="4352" width="9.140625" style="87"/>
    <col min="4353" max="4353" width="6.5703125" style="87" customWidth="1"/>
    <col min="4354" max="4354" width="9.140625" style="87"/>
    <col min="4355" max="4355" width="10.28515625" style="87" customWidth="1"/>
    <col min="4356" max="4356" width="16.5703125" style="87" customWidth="1"/>
    <col min="4357" max="4357" width="16" style="87" customWidth="1"/>
    <col min="4358" max="4358" width="12.7109375" style="87" customWidth="1"/>
    <col min="4359" max="4359" width="14.42578125" style="87" customWidth="1"/>
    <col min="4360" max="4360" width="10.7109375" style="87" customWidth="1"/>
    <col min="4361" max="4361" width="22.5703125" style="87" customWidth="1"/>
    <col min="4362" max="4608" width="9.140625" style="87"/>
    <col min="4609" max="4609" width="6.5703125" style="87" customWidth="1"/>
    <col min="4610" max="4610" width="9.140625" style="87"/>
    <col min="4611" max="4611" width="10.28515625" style="87" customWidth="1"/>
    <col min="4612" max="4612" width="16.5703125" style="87" customWidth="1"/>
    <col min="4613" max="4613" width="16" style="87" customWidth="1"/>
    <col min="4614" max="4614" width="12.7109375" style="87" customWidth="1"/>
    <col min="4615" max="4615" width="14.42578125" style="87" customWidth="1"/>
    <col min="4616" max="4616" width="10.7109375" style="87" customWidth="1"/>
    <col min="4617" max="4617" width="22.5703125" style="87" customWidth="1"/>
    <col min="4618" max="4864" width="9.140625" style="87"/>
    <col min="4865" max="4865" width="6.5703125" style="87" customWidth="1"/>
    <col min="4866" max="4866" width="9.140625" style="87"/>
    <col min="4867" max="4867" width="10.28515625" style="87" customWidth="1"/>
    <col min="4868" max="4868" width="16.5703125" style="87" customWidth="1"/>
    <col min="4869" max="4869" width="16" style="87" customWidth="1"/>
    <col min="4870" max="4870" width="12.7109375" style="87" customWidth="1"/>
    <col min="4871" max="4871" width="14.42578125" style="87" customWidth="1"/>
    <col min="4872" max="4872" width="10.7109375" style="87" customWidth="1"/>
    <col min="4873" max="4873" width="22.5703125" style="87" customWidth="1"/>
    <col min="4874" max="5120" width="9.140625" style="87"/>
    <col min="5121" max="5121" width="6.5703125" style="87" customWidth="1"/>
    <col min="5122" max="5122" width="9.140625" style="87"/>
    <col min="5123" max="5123" width="10.28515625" style="87" customWidth="1"/>
    <col min="5124" max="5124" width="16.5703125" style="87" customWidth="1"/>
    <col min="5125" max="5125" width="16" style="87" customWidth="1"/>
    <col min="5126" max="5126" width="12.7109375" style="87" customWidth="1"/>
    <col min="5127" max="5127" width="14.42578125" style="87" customWidth="1"/>
    <col min="5128" max="5128" width="10.7109375" style="87" customWidth="1"/>
    <col min="5129" max="5129" width="22.5703125" style="87" customWidth="1"/>
    <col min="5130" max="5376" width="9.140625" style="87"/>
    <col min="5377" max="5377" width="6.5703125" style="87" customWidth="1"/>
    <col min="5378" max="5378" width="9.140625" style="87"/>
    <col min="5379" max="5379" width="10.28515625" style="87" customWidth="1"/>
    <col min="5380" max="5380" width="16.5703125" style="87" customWidth="1"/>
    <col min="5381" max="5381" width="16" style="87" customWidth="1"/>
    <col min="5382" max="5382" width="12.7109375" style="87" customWidth="1"/>
    <col min="5383" max="5383" width="14.42578125" style="87" customWidth="1"/>
    <col min="5384" max="5384" width="10.7109375" style="87" customWidth="1"/>
    <col min="5385" max="5385" width="22.5703125" style="87" customWidth="1"/>
    <col min="5386" max="5632" width="9.140625" style="87"/>
    <col min="5633" max="5633" width="6.5703125" style="87" customWidth="1"/>
    <col min="5634" max="5634" width="9.140625" style="87"/>
    <col min="5635" max="5635" width="10.28515625" style="87" customWidth="1"/>
    <col min="5636" max="5636" width="16.5703125" style="87" customWidth="1"/>
    <col min="5637" max="5637" width="16" style="87" customWidth="1"/>
    <col min="5638" max="5638" width="12.7109375" style="87" customWidth="1"/>
    <col min="5639" max="5639" width="14.42578125" style="87" customWidth="1"/>
    <col min="5640" max="5640" width="10.7109375" style="87" customWidth="1"/>
    <col min="5641" max="5641" width="22.5703125" style="87" customWidth="1"/>
    <col min="5642" max="5888" width="9.140625" style="87"/>
    <col min="5889" max="5889" width="6.5703125" style="87" customWidth="1"/>
    <col min="5890" max="5890" width="9.140625" style="87"/>
    <col min="5891" max="5891" width="10.28515625" style="87" customWidth="1"/>
    <col min="5892" max="5892" width="16.5703125" style="87" customWidth="1"/>
    <col min="5893" max="5893" width="16" style="87" customWidth="1"/>
    <col min="5894" max="5894" width="12.7109375" style="87" customWidth="1"/>
    <col min="5895" max="5895" width="14.42578125" style="87" customWidth="1"/>
    <col min="5896" max="5896" width="10.7109375" style="87" customWidth="1"/>
    <col min="5897" max="5897" width="22.5703125" style="87" customWidth="1"/>
    <col min="5898" max="6144" width="9.140625" style="87"/>
    <col min="6145" max="6145" width="6.5703125" style="87" customWidth="1"/>
    <col min="6146" max="6146" width="9.140625" style="87"/>
    <col min="6147" max="6147" width="10.28515625" style="87" customWidth="1"/>
    <col min="6148" max="6148" width="16.5703125" style="87" customWidth="1"/>
    <col min="6149" max="6149" width="16" style="87" customWidth="1"/>
    <col min="6150" max="6150" width="12.7109375" style="87" customWidth="1"/>
    <col min="6151" max="6151" width="14.42578125" style="87" customWidth="1"/>
    <col min="6152" max="6152" width="10.7109375" style="87" customWidth="1"/>
    <col min="6153" max="6153" width="22.5703125" style="87" customWidth="1"/>
    <col min="6154" max="6400" width="9.140625" style="87"/>
    <col min="6401" max="6401" width="6.5703125" style="87" customWidth="1"/>
    <col min="6402" max="6402" width="9.140625" style="87"/>
    <col min="6403" max="6403" width="10.28515625" style="87" customWidth="1"/>
    <col min="6404" max="6404" width="16.5703125" style="87" customWidth="1"/>
    <col min="6405" max="6405" width="16" style="87" customWidth="1"/>
    <col min="6406" max="6406" width="12.7109375" style="87" customWidth="1"/>
    <col min="6407" max="6407" width="14.42578125" style="87" customWidth="1"/>
    <col min="6408" max="6408" width="10.7109375" style="87" customWidth="1"/>
    <col min="6409" max="6409" width="22.5703125" style="87" customWidth="1"/>
    <col min="6410" max="6656" width="9.140625" style="87"/>
    <col min="6657" max="6657" width="6.5703125" style="87" customWidth="1"/>
    <col min="6658" max="6658" width="9.140625" style="87"/>
    <col min="6659" max="6659" width="10.28515625" style="87" customWidth="1"/>
    <col min="6660" max="6660" width="16.5703125" style="87" customWidth="1"/>
    <col min="6661" max="6661" width="16" style="87" customWidth="1"/>
    <col min="6662" max="6662" width="12.7109375" style="87" customWidth="1"/>
    <col min="6663" max="6663" width="14.42578125" style="87" customWidth="1"/>
    <col min="6664" max="6664" width="10.7109375" style="87" customWidth="1"/>
    <col min="6665" max="6665" width="22.5703125" style="87" customWidth="1"/>
    <col min="6666" max="6912" width="9.140625" style="87"/>
    <col min="6913" max="6913" width="6.5703125" style="87" customWidth="1"/>
    <col min="6914" max="6914" width="9.140625" style="87"/>
    <col min="6915" max="6915" width="10.28515625" style="87" customWidth="1"/>
    <col min="6916" max="6916" width="16.5703125" style="87" customWidth="1"/>
    <col min="6917" max="6917" width="16" style="87" customWidth="1"/>
    <col min="6918" max="6918" width="12.7109375" style="87" customWidth="1"/>
    <col min="6919" max="6919" width="14.42578125" style="87" customWidth="1"/>
    <col min="6920" max="6920" width="10.7109375" style="87" customWidth="1"/>
    <col min="6921" max="6921" width="22.5703125" style="87" customWidth="1"/>
    <col min="6922" max="7168" width="9.140625" style="87"/>
    <col min="7169" max="7169" width="6.5703125" style="87" customWidth="1"/>
    <col min="7170" max="7170" width="9.140625" style="87"/>
    <col min="7171" max="7171" width="10.28515625" style="87" customWidth="1"/>
    <col min="7172" max="7172" width="16.5703125" style="87" customWidth="1"/>
    <col min="7173" max="7173" width="16" style="87" customWidth="1"/>
    <col min="7174" max="7174" width="12.7109375" style="87" customWidth="1"/>
    <col min="7175" max="7175" width="14.42578125" style="87" customWidth="1"/>
    <col min="7176" max="7176" width="10.7109375" style="87" customWidth="1"/>
    <col min="7177" max="7177" width="22.5703125" style="87" customWidth="1"/>
    <col min="7178" max="7424" width="9.140625" style="87"/>
    <col min="7425" max="7425" width="6.5703125" style="87" customWidth="1"/>
    <col min="7426" max="7426" width="9.140625" style="87"/>
    <col min="7427" max="7427" width="10.28515625" style="87" customWidth="1"/>
    <col min="7428" max="7428" width="16.5703125" style="87" customWidth="1"/>
    <col min="7429" max="7429" width="16" style="87" customWidth="1"/>
    <col min="7430" max="7430" width="12.7109375" style="87" customWidth="1"/>
    <col min="7431" max="7431" width="14.42578125" style="87" customWidth="1"/>
    <col min="7432" max="7432" width="10.7109375" style="87" customWidth="1"/>
    <col min="7433" max="7433" width="22.5703125" style="87" customWidth="1"/>
    <col min="7434" max="7680" width="9.140625" style="87"/>
    <col min="7681" max="7681" width="6.5703125" style="87" customWidth="1"/>
    <col min="7682" max="7682" width="9.140625" style="87"/>
    <col min="7683" max="7683" width="10.28515625" style="87" customWidth="1"/>
    <col min="7684" max="7684" width="16.5703125" style="87" customWidth="1"/>
    <col min="7685" max="7685" width="16" style="87" customWidth="1"/>
    <col min="7686" max="7686" width="12.7109375" style="87" customWidth="1"/>
    <col min="7687" max="7687" width="14.42578125" style="87" customWidth="1"/>
    <col min="7688" max="7688" width="10.7109375" style="87" customWidth="1"/>
    <col min="7689" max="7689" width="22.5703125" style="87" customWidth="1"/>
    <col min="7690" max="7936" width="9.140625" style="87"/>
    <col min="7937" max="7937" width="6.5703125" style="87" customWidth="1"/>
    <col min="7938" max="7938" width="9.140625" style="87"/>
    <col min="7939" max="7939" width="10.28515625" style="87" customWidth="1"/>
    <col min="7940" max="7940" width="16.5703125" style="87" customWidth="1"/>
    <col min="7941" max="7941" width="16" style="87" customWidth="1"/>
    <col min="7942" max="7942" width="12.7109375" style="87" customWidth="1"/>
    <col min="7943" max="7943" width="14.42578125" style="87" customWidth="1"/>
    <col min="7944" max="7944" width="10.7109375" style="87" customWidth="1"/>
    <col min="7945" max="7945" width="22.5703125" style="87" customWidth="1"/>
    <col min="7946" max="8192" width="9.140625" style="87"/>
    <col min="8193" max="8193" width="6.5703125" style="87" customWidth="1"/>
    <col min="8194" max="8194" width="9.140625" style="87"/>
    <col min="8195" max="8195" width="10.28515625" style="87" customWidth="1"/>
    <col min="8196" max="8196" width="16.5703125" style="87" customWidth="1"/>
    <col min="8197" max="8197" width="16" style="87" customWidth="1"/>
    <col min="8198" max="8198" width="12.7109375" style="87" customWidth="1"/>
    <col min="8199" max="8199" width="14.42578125" style="87" customWidth="1"/>
    <col min="8200" max="8200" width="10.7109375" style="87" customWidth="1"/>
    <col min="8201" max="8201" width="22.5703125" style="87" customWidth="1"/>
    <col min="8202" max="8448" width="9.140625" style="87"/>
    <col min="8449" max="8449" width="6.5703125" style="87" customWidth="1"/>
    <col min="8450" max="8450" width="9.140625" style="87"/>
    <col min="8451" max="8451" width="10.28515625" style="87" customWidth="1"/>
    <col min="8452" max="8452" width="16.5703125" style="87" customWidth="1"/>
    <col min="8453" max="8453" width="16" style="87" customWidth="1"/>
    <col min="8454" max="8454" width="12.7109375" style="87" customWidth="1"/>
    <col min="8455" max="8455" width="14.42578125" style="87" customWidth="1"/>
    <col min="8456" max="8456" width="10.7109375" style="87" customWidth="1"/>
    <col min="8457" max="8457" width="22.5703125" style="87" customWidth="1"/>
    <col min="8458" max="8704" width="9.140625" style="87"/>
    <col min="8705" max="8705" width="6.5703125" style="87" customWidth="1"/>
    <col min="8706" max="8706" width="9.140625" style="87"/>
    <col min="8707" max="8707" width="10.28515625" style="87" customWidth="1"/>
    <col min="8708" max="8708" width="16.5703125" style="87" customWidth="1"/>
    <col min="8709" max="8709" width="16" style="87" customWidth="1"/>
    <col min="8710" max="8710" width="12.7109375" style="87" customWidth="1"/>
    <col min="8711" max="8711" width="14.42578125" style="87" customWidth="1"/>
    <col min="8712" max="8712" width="10.7109375" style="87" customWidth="1"/>
    <col min="8713" max="8713" width="22.5703125" style="87" customWidth="1"/>
    <col min="8714" max="8960" width="9.140625" style="87"/>
    <col min="8961" max="8961" width="6.5703125" style="87" customWidth="1"/>
    <col min="8962" max="8962" width="9.140625" style="87"/>
    <col min="8963" max="8963" width="10.28515625" style="87" customWidth="1"/>
    <col min="8964" max="8964" width="16.5703125" style="87" customWidth="1"/>
    <col min="8965" max="8965" width="16" style="87" customWidth="1"/>
    <col min="8966" max="8966" width="12.7109375" style="87" customWidth="1"/>
    <col min="8967" max="8967" width="14.42578125" style="87" customWidth="1"/>
    <col min="8968" max="8968" width="10.7109375" style="87" customWidth="1"/>
    <col min="8969" max="8969" width="22.5703125" style="87" customWidth="1"/>
    <col min="8970" max="9216" width="9.140625" style="87"/>
    <col min="9217" max="9217" width="6.5703125" style="87" customWidth="1"/>
    <col min="9218" max="9218" width="9.140625" style="87"/>
    <col min="9219" max="9219" width="10.28515625" style="87" customWidth="1"/>
    <col min="9220" max="9220" width="16.5703125" style="87" customWidth="1"/>
    <col min="9221" max="9221" width="16" style="87" customWidth="1"/>
    <col min="9222" max="9222" width="12.7109375" style="87" customWidth="1"/>
    <col min="9223" max="9223" width="14.42578125" style="87" customWidth="1"/>
    <col min="9224" max="9224" width="10.7109375" style="87" customWidth="1"/>
    <col min="9225" max="9225" width="22.5703125" style="87" customWidth="1"/>
    <col min="9226" max="9472" width="9.140625" style="87"/>
    <col min="9473" max="9473" width="6.5703125" style="87" customWidth="1"/>
    <col min="9474" max="9474" width="9.140625" style="87"/>
    <col min="9475" max="9475" width="10.28515625" style="87" customWidth="1"/>
    <col min="9476" max="9476" width="16.5703125" style="87" customWidth="1"/>
    <col min="9477" max="9477" width="16" style="87" customWidth="1"/>
    <col min="9478" max="9478" width="12.7109375" style="87" customWidth="1"/>
    <col min="9479" max="9479" width="14.42578125" style="87" customWidth="1"/>
    <col min="9480" max="9480" width="10.7109375" style="87" customWidth="1"/>
    <col min="9481" max="9481" width="22.5703125" style="87" customWidth="1"/>
    <col min="9482" max="9728" width="9.140625" style="87"/>
    <col min="9729" max="9729" width="6.5703125" style="87" customWidth="1"/>
    <col min="9730" max="9730" width="9.140625" style="87"/>
    <col min="9731" max="9731" width="10.28515625" style="87" customWidth="1"/>
    <col min="9732" max="9732" width="16.5703125" style="87" customWidth="1"/>
    <col min="9733" max="9733" width="16" style="87" customWidth="1"/>
    <col min="9734" max="9734" width="12.7109375" style="87" customWidth="1"/>
    <col min="9735" max="9735" width="14.42578125" style="87" customWidth="1"/>
    <col min="9736" max="9736" width="10.7109375" style="87" customWidth="1"/>
    <col min="9737" max="9737" width="22.5703125" style="87" customWidth="1"/>
    <col min="9738" max="9984" width="9.140625" style="87"/>
    <col min="9985" max="9985" width="6.5703125" style="87" customWidth="1"/>
    <col min="9986" max="9986" width="9.140625" style="87"/>
    <col min="9987" max="9987" width="10.28515625" style="87" customWidth="1"/>
    <col min="9988" max="9988" width="16.5703125" style="87" customWidth="1"/>
    <col min="9989" max="9989" width="16" style="87" customWidth="1"/>
    <col min="9990" max="9990" width="12.7109375" style="87" customWidth="1"/>
    <col min="9991" max="9991" width="14.42578125" style="87" customWidth="1"/>
    <col min="9992" max="9992" width="10.7109375" style="87" customWidth="1"/>
    <col min="9993" max="9993" width="22.5703125" style="87" customWidth="1"/>
    <col min="9994" max="10240" width="9.140625" style="87"/>
    <col min="10241" max="10241" width="6.5703125" style="87" customWidth="1"/>
    <col min="10242" max="10242" width="9.140625" style="87"/>
    <col min="10243" max="10243" width="10.28515625" style="87" customWidth="1"/>
    <col min="10244" max="10244" width="16.5703125" style="87" customWidth="1"/>
    <col min="10245" max="10245" width="16" style="87" customWidth="1"/>
    <col min="10246" max="10246" width="12.7109375" style="87" customWidth="1"/>
    <col min="10247" max="10247" width="14.42578125" style="87" customWidth="1"/>
    <col min="10248" max="10248" width="10.7109375" style="87" customWidth="1"/>
    <col min="10249" max="10249" width="22.5703125" style="87" customWidth="1"/>
    <col min="10250" max="10496" width="9.140625" style="87"/>
    <col min="10497" max="10497" width="6.5703125" style="87" customWidth="1"/>
    <col min="10498" max="10498" width="9.140625" style="87"/>
    <col min="10499" max="10499" width="10.28515625" style="87" customWidth="1"/>
    <col min="10500" max="10500" width="16.5703125" style="87" customWidth="1"/>
    <col min="10501" max="10501" width="16" style="87" customWidth="1"/>
    <col min="10502" max="10502" width="12.7109375" style="87" customWidth="1"/>
    <col min="10503" max="10503" width="14.42578125" style="87" customWidth="1"/>
    <col min="10504" max="10504" width="10.7109375" style="87" customWidth="1"/>
    <col min="10505" max="10505" width="22.5703125" style="87" customWidth="1"/>
    <col min="10506" max="10752" width="9.140625" style="87"/>
    <col min="10753" max="10753" width="6.5703125" style="87" customWidth="1"/>
    <col min="10754" max="10754" width="9.140625" style="87"/>
    <col min="10755" max="10755" width="10.28515625" style="87" customWidth="1"/>
    <col min="10756" max="10756" width="16.5703125" style="87" customWidth="1"/>
    <col min="10757" max="10757" width="16" style="87" customWidth="1"/>
    <col min="10758" max="10758" width="12.7109375" style="87" customWidth="1"/>
    <col min="10759" max="10759" width="14.42578125" style="87" customWidth="1"/>
    <col min="10760" max="10760" width="10.7109375" style="87" customWidth="1"/>
    <col min="10761" max="10761" width="22.5703125" style="87" customWidth="1"/>
    <col min="10762" max="11008" width="9.140625" style="87"/>
    <col min="11009" max="11009" width="6.5703125" style="87" customWidth="1"/>
    <col min="11010" max="11010" width="9.140625" style="87"/>
    <col min="11011" max="11011" width="10.28515625" style="87" customWidth="1"/>
    <col min="11012" max="11012" width="16.5703125" style="87" customWidth="1"/>
    <col min="11013" max="11013" width="16" style="87" customWidth="1"/>
    <col min="11014" max="11014" width="12.7109375" style="87" customWidth="1"/>
    <col min="11015" max="11015" width="14.42578125" style="87" customWidth="1"/>
    <col min="11016" max="11016" width="10.7109375" style="87" customWidth="1"/>
    <col min="11017" max="11017" width="22.5703125" style="87" customWidth="1"/>
    <col min="11018" max="11264" width="9.140625" style="87"/>
    <col min="11265" max="11265" width="6.5703125" style="87" customWidth="1"/>
    <col min="11266" max="11266" width="9.140625" style="87"/>
    <col min="11267" max="11267" width="10.28515625" style="87" customWidth="1"/>
    <col min="11268" max="11268" width="16.5703125" style="87" customWidth="1"/>
    <col min="11269" max="11269" width="16" style="87" customWidth="1"/>
    <col min="11270" max="11270" width="12.7109375" style="87" customWidth="1"/>
    <col min="11271" max="11271" width="14.42578125" style="87" customWidth="1"/>
    <col min="11272" max="11272" width="10.7109375" style="87" customWidth="1"/>
    <col min="11273" max="11273" width="22.5703125" style="87" customWidth="1"/>
    <col min="11274" max="11520" width="9.140625" style="87"/>
    <col min="11521" max="11521" width="6.5703125" style="87" customWidth="1"/>
    <col min="11522" max="11522" width="9.140625" style="87"/>
    <col min="11523" max="11523" width="10.28515625" style="87" customWidth="1"/>
    <col min="11524" max="11524" width="16.5703125" style="87" customWidth="1"/>
    <col min="11525" max="11525" width="16" style="87" customWidth="1"/>
    <col min="11526" max="11526" width="12.7109375" style="87" customWidth="1"/>
    <col min="11527" max="11527" width="14.42578125" style="87" customWidth="1"/>
    <col min="11528" max="11528" width="10.7109375" style="87" customWidth="1"/>
    <col min="11529" max="11529" width="22.5703125" style="87" customWidth="1"/>
    <col min="11530" max="11776" width="9.140625" style="87"/>
    <col min="11777" max="11777" width="6.5703125" style="87" customWidth="1"/>
    <col min="11778" max="11778" width="9.140625" style="87"/>
    <col min="11779" max="11779" width="10.28515625" style="87" customWidth="1"/>
    <col min="11780" max="11780" width="16.5703125" style="87" customWidth="1"/>
    <col min="11781" max="11781" width="16" style="87" customWidth="1"/>
    <col min="11782" max="11782" width="12.7109375" style="87" customWidth="1"/>
    <col min="11783" max="11783" width="14.42578125" style="87" customWidth="1"/>
    <col min="11784" max="11784" width="10.7109375" style="87" customWidth="1"/>
    <col min="11785" max="11785" width="22.5703125" style="87" customWidth="1"/>
    <col min="11786" max="12032" width="9.140625" style="87"/>
    <col min="12033" max="12033" width="6.5703125" style="87" customWidth="1"/>
    <col min="12034" max="12034" width="9.140625" style="87"/>
    <col min="12035" max="12035" width="10.28515625" style="87" customWidth="1"/>
    <col min="12036" max="12036" width="16.5703125" style="87" customWidth="1"/>
    <col min="12037" max="12037" width="16" style="87" customWidth="1"/>
    <col min="12038" max="12038" width="12.7109375" style="87" customWidth="1"/>
    <col min="12039" max="12039" width="14.42578125" style="87" customWidth="1"/>
    <col min="12040" max="12040" width="10.7109375" style="87" customWidth="1"/>
    <col min="12041" max="12041" width="22.5703125" style="87" customWidth="1"/>
    <col min="12042" max="12288" width="9.140625" style="87"/>
    <col min="12289" max="12289" width="6.5703125" style="87" customWidth="1"/>
    <col min="12290" max="12290" width="9.140625" style="87"/>
    <col min="12291" max="12291" width="10.28515625" style="87" customWidth="1"/>
    <col min="12292" max="12292" width="16.5703125" style="87" customWidth="1"/>
    <col min="12293" max="12293" width="16" style="87" customWidth="1"/>
    <col min="12294" max="12294" width="12.7109375" style="87" customWidth="1"/>
    <col min="12295" max="12295" width="14.42578125" style="87" customWidth="1"/>
    <col min="12296" max="12296" width="10.7109375" style="87" customWidth="1"/>
    <col min="12297" max="12297" width="22.5703125" style="87" customWidth="1"/>
    <col min="12298" max="12544" width="9.140625" style="87"/>
    <col min="12545" max="12545" width="6.5703125" style="87" customWidth="1"/>
    <col min="12546" max="12546" width="9.140625" style="87"/>
    <col min="12547" max="12547" width="10.28515625" style="87" customWidth="1"/>
    <col min="12548" max="12548" width="16.5703125" style="87" customWidth="1"/>
    <col min="12549" max="12549" width="16" style="87" customWidth="1"/>
    <col min="12550" max="12550" width="12.7109375" style="87" customWidth="1"/>
    <col min="12551" max="12551" width="14.42578125" style="87" customWidth="1"/>
    <col min="12552" max="12552" width="10.7109375" style="87" customWidth="1"/>
    <col min="12553" max="12553" width="22.5703125" style="87" customWidth="1"/>
    <col min="12554" max="12800" width="9.140625" style="87"/>
    <col min="12801" max="12801" width="6.5703125" style="87" customWidth="1"/>
    <col min="12802" max="12802" width="9.140625" style="87"/>
    <col min="12803" max="12803" width="10.28515625" style="87" customWidth="1"/>
    <col min="12804" max="12804" width="16.5703125" style="87" customWidth="1"/>
    <col min="12805" max="12805" width="16" style="87" customWidth="1"/>
    <col min="12806" max="12806" width="12.7109375" style="87" customWidth="1"/>
    <col min="12807" max="12807" width="14.42578125" style="87" customWidth="1"/>
    <col min="12808" max="12808" width="10.7109375" style="87" customWidth="1"/>
    <col min="12809" max="12809" width="22.5703125" style="87" customWidth="1"/>
    <col min="12810" max="13056" width="9.140625" style="87"/>
    <col min="13057" max="13057" width="6.5703125" style="87" customWidth="1"/>
    <col min="13058" max="13058" width="9.140625" style="87"/>
    <col min="13059" max="13059" width="10.28515625" style="87" customWidth="1"/>
    <col min="13060" max="13060" width="16.5703125" style="87" customWidth="1"/>
    <col min="13061" max="13061" width="16" style="87" customWidth="1"/>
    <col min="13062" max="13062" width="12.7109375" style="87" customWidth="1"/>
    <col min="13063" max="13063" width="14.42578125" style="87" customWidth="1"/>
    <col min="13064" max="13064" width="10.7109375" style="87" customWidth="1"/>
    <col min="13065" max="13065" width="22.5703125" style="87" customWidth="1"/>
    <col min="13066" max="13312" width="9.140625" style="87"/>
    <col min="13313" max="13313" width="6.5703125" style="87" customWidth="1"/>
    <col min="13314" max="13314" width="9.140625" style="87"/>
    <col min="13315" max="13315" width="10.28515625" style="87" customWidth="1"/>
    <col min="13316" max="13316" width="16.5703125" style="87" customWidth="1"/>
    <col min="13317" max="13317" width="16" style="87" customWidth="1"/>
    <col min="13318" max="13318" width="12.7109375" style="87" customWidth="1"/>
    <col min="13319" max="13319" width="14.42578125" style="87" customWidth="1"/>
    <col min="13320" max="13320" width="10.7109375" style="87" customWidth="1"/>
    <col min="13321" max="13321" width="22.5703125" style="87" customWidth="1"/>
    <col min="13322" max="13568" width="9.140625" style="87"/>
    <col min="13569" max="13569" width="6.5703125" style="87" customWidth="1"/>
    <col min="13570" max="13570" width="9.140625" style="87"/>
    <col min="13571" max="13571" width="10.28515625" style="87" customWidth="1"/>
    <col min="13572" max="13572" width="16.5703125" style="87" customWidth="1"/>
    <col min="13573" max="13573" width="16" style="87" customWidth="1"/>
    <col min="13574" max="13574" width="12.7109375" style="87" customWidth="1"/>
    <col min="13575" max="13575" width="14.42578125" style="87" customWidth="1"/>
    <col min="13576" max="13576" width="10.7109375" style="87" customWidth="1"/>
    <col min="13577" max="13577" width="22.5703125" style="87" customWidth="1"/>
    <col min="13578" max="13824" width="9.140625" style="87"/>
    <col min="13825" max="13825" width="6.5703125" style="87" customWidth="1"/>
    <col min="13826" max="13826" width="9.140625" style="87"/>
    <col min="13827" max="13827" width="10.28515625" style="87" customWidth="1"/>
    <col min="13828" max="13828" width="16.5703125" style="87" customWidth="1"/>
    <col min="13829" max="13829" width="16" style="87" customWidth="1"/>
    <col min="13830" max="13830" width="12.7109375" style="87" customWidth="1"/>
    <col min="13831" max="13831" width="14.42578125" style="87" customWidth="1"/>
    <col min="13832" max="13832" width="10.7109375" style="87" customWidth="1"/>
    <col min="13833" max="13833" width="22.5703125" style="87" customWidth="1"/>
    <col min="13834" max="14080" width="9.140625" style="87"/>
    <col min="14081" max="14081" width="6.5703125" style="87" customWidth="1"/>
    <col min="14082" max="14082" width="9.140625" style="87"/>
    <col min="14083" max="14083" width="10.28515625" style="87" customWidth="1"/>
    <col min="14084" max="14084" width="16.5703125" style="87" customWidth="1"/>
    <col min="14085" max="14085" width="16" style="87" customWidth="1"/>
    <col min="14086" max="14086" width="12.7109375" style="87" customWidth="1"/>
    <col min="14087" max="14087" width="14.42578125" style="87" customWidth="1"/>
    <col min="14088" max="14088" width="10.7109375" style="87" customWidth="1"/>
    <col min="14089" max="14089" width="22.5703125" style="87" customWidth="1"/>
    <col min="14090" max="14336" width="9.140625" style="87"/>
    <col min="14337" max="14337" width="6.5703125" style="87" customWidth="1"/>
    <col min="14338" max="14338" width="9.140625" style="87"/>
    <col min="14339" max="14339" width="10.28515625" style="87" customWidth="1"/>
    <col min="14340" max="14340" width="16.5703125" style="87" customWidth="1"/>
    <col min="14341" max="14341" width="16" style="87" customWidth="1"/>
    <col min="14342" max="14342" width="12.7109375" style="87" customWidth="1"/>
    <col min="14343" max="14343" width="14.42578125" style="87" customWidth="1"/>
    <col min="14344" max="14344" width="10.7109375" style="87" customWidth="1"/>
    <col min="14345" max="14345" width="22.5703125" style="87" customWidth="1"/>
    <col min="14346" max="14592" width="9.140625" style="87"/>
    <col min="14593" max="14593" width="6.5703125" style="87" customWidth="1"/>
    <col min="14594" max="14594" width="9.140625" style="87"/>
    <col min="14595" max="14595" width="10.28515625" style="87" customWidth="1"/>
    <col min="14596" max="14596" width="16.5703125" style="87" customWidth="1"/>
    <col min="14597" max="14597" width="16" style="87" customWidth="1"/>
    <col min="14598" max="14598" width="12.7109375" style="87" customWidth="1"/>
    <col min="14599" max="14599" width="14.42578125" style="87" customWidth="1"/>
    <col min="14600" max="14600" width="10.7109375" style="87" customWidth="1"/>
    <col min="14601" max="14601" width="22.5703125" style="87" customWidth="1"/>
    <col min="14602" max="14848" width="9.140625" style="87"/>
    <col min="14849" max="14849" width="6.5703125" style="87" customWidth="1"/>
    <col min="14850" max="14850" width="9.140625" style="87"/>
    <col min="14851" max="14851" width="10.28515625" style="87" customWidth="1"/>
    <col min="14852" max="14852" width="16.5703125" style="87" customWidth="1"/>
    <col min="14853" max="14853" width="16" style="87" customWidth="1"/>
    <col min="14854" max="14854" width="12.7109375" style="87" customWidth="1"/>
    <col min="14855" max="14855" width="14.42578125" style="87" customWidth="1"/>
    <col min="14856" max="14856" width="10.7109375" style="87" customWidth="1"/>
    <col min="14857" max="14857" width="22.5703125" style="87" customWidth="1"/>
    <col min="14858" max="15104" width="9.140625" style="87"/>
    <col min="15105" max="15105" width="6.5703125" style="87" customWidth="1"/>
    <col min="15106" max="15106" width="9.140625" style="87"/>
    <col min="15107" max="15107" width="10.28515625" style="87" customWidth="1"/>
    <col min="15108" max="15108" width="16.5703125" style="87" customWidth="1"/>
    <col min="15109" max="15109" width="16" style="87" customWidth="1"/>
    <col min="15110" max="15110" width="12.7109375" style="87" customWidth="1"/>
    <col min="15111" max="15111" width="14.42578125" style="87" customWidth="1"/>
    <col min="15112" max="15112" width="10.7109375" style="87" customWidth="1"/>
    <col min="15113" max="15113" width="22.5703125" style="87" customWidth="1"/>
    <col min="15114" max="15360" width="9.140625" style="87"/>
    <col min="15361" max="15361" width="6.5703125" style="87" customWidth="1"/>
    <col min="15362" max="15362" width="9.140625" style="87"/>
    <col min="15363" max="15363" width="10.28515625" style="87" customWidth="1"/>
    <col min="15364" max="15364" width="16.5703125" style="87" customWidth="1"/>
    <col min="15365" max="15365" width="16" style="87" customWidth="1"/>
    <col min="15366" max="15366" width="12.7109375" style="87" customWidth="1"/>
    <col min="15367" max="15367" width="14.42578125" style="87" customWidth="1"/>
    <col min="15368" max="15368" width="10.7109375" style="87" customWidth="1"/>
    <col min="15369" max="15369" width="22.5703125" style="87" customWidth="1"/>
    <col min="15370" max="15616" width="9.140625" style="87"/>
    <col min="15617" max="15617" width="6.5703125" style="87" customWidth="1"/>
    <col min="15618" max="15618" width="9.140625" style="87"/>
    <col min="15619" max="15619" width="10.28515625" style="87" customWidth="1"/>
    <col min="15620" max="15620" width="16.5703125" style="87" customWidth="1"/>
    <col min="15621" max="15621" width="16" style="87" customWidth="1"/>
    <col min="15622" max="15622" width="12.7109375" style="87" customWidth="1"/>
    <col min="15623" max="15623" width="14.42578125" style="87" customWidth="1"/>
    <col min="15624" max="15624" width="10.7109375" style="87" customWidth="1"/>
    <col min="15625" max="15625" width="22.5703125" style="87" customWidth="1"/>
    <col min="15626" max="15872" width="9.140625" style="87"/>
    <col min="15873" max="15873" width="6.5703125" style="87" customWidth="1"/>
    <col min="15874" max="15874" width="9.140625" style="87"/>
    <col min="15875" max="15875" width="10.28515625" style="87" customWidth="1"/>
    <col min="15876" max="15876" width="16.5703125" style="87" customWidth="1"/>
    <col min="15877" max="15877" width="16" style="87" customWidth="1"/>
    <col min="15878" max="15878" width="12.7109375" style="87" customWidth="1"/>
    <col min="15879" max="15879" width="14.42578125" style="87" customWidth="1"/>
    <col min="15880" max="15880" width="10.7109375" style="87" customWidth="1"/>
    <col min="15881" max="15881" width="22.5703125" style="87" customWidth="1"/>
    <col min="15882" max="16128" width="9.140625" style="87"/>
    <col min="16129" max="16129" width="6.5703125" style="87" customWidth="1"/>
    <col min="16130" max="16130" width="9.140625" style="87"/>
    <col min="16131" max="16131" width="10.28515625" style="87" customWidth="1"/>
    <col min="16132" max="16132" width="16.5703125" style="87" customWidth="1"/>
    <col min="16133" max="16133" width="16" style="87" customWidth="1"/>
    <col min="16134" max="16134" width="12.7109375" style="87" customWidth="1"/>
    <col min="16135" max="16135" width="14.42578125" style="87" customWidth="1"/>
    <col min="16136" max="16136" width="10.7109375" style="87" customWidth="1"/>
    <col min="16137" max="16137" width="22.5703125" style="87" customWidth="1"/>
    <col min="16138" max="16384" width="9.140625" style="87"/>
  </cols>
  <sheetData>
    <row r="1" spans="1:9" ht="60" customHeight="1" x14ac:dyDescent="0.25">
      <c r="C1" s="88" t="s">
        <v>170</v>
      </c>
      <c r="D1" s="89" t="s">
        <v>171</v>
      </c>
      <c r="E1" s="90" t="s">
        <v>172</v>
      </c>
      <c r="F1" s="90" t="s">
        <v>173</v>
      </c>
      <c r="G1" s="91" t="s">
        <v>174</v>
      </c>
      <c r="I1" s="92" t="s">
        <v>175</v>
      </c>
    </row>
    <row r="2" spans="1:9" x14ac:dyDescent="0.2">
      <c r="A2" s="87">
        <f t="shared" ref="A2:A65" si="0">IF(A1&gt;1,IF(C2&gt;=1,A1+1,A1),IF(C2&gt;=1,A1+1,A1))</f>
        <v>0</v>
      </c>
      <c r="B2" s="87">
        <v>1967</v>
      </c>
      <c r="C2" s="93"/>
      <c r="D2" s="88">
        <v>151.46</v>
      </c>
      <c r="E2" s="94">
        <f t="shared" ref="E2:E22" si="1">ROUND(100/D2,5)</f>
        <v>0.66024000000000005</v>
      </c>
      <c r="F2" s="95">
        <f t="shared" ref="F2:F31" si="2">ROUND(C2*E2,2)</f>
        <v>0</v>
      </c>
      <c r="G2" s="96">
        <v>0.61299999999999999</v>
      </c>
      <c r="H2" s="87">
        <f>ROUNDDOWN(F2/G2,2)</f>
        <v>0</v>
      </c>
    </row>
    <row r="3" spans="1:9" x14ac:dyDescent="0.2">
      <c r="A3" s="87">
        <f t="shared" si="0"/>
        <v>0</v>
      </c>
      <c r="B3" s="87">
        <v>1968</v>
      </c>
      <c r="C3" s="93"/>
      <c r="D3" s="88">
        <v>156.66999999999999</v>
      </c>
      <c r="E3" s="94">
        <f t="shared" si="1"/>
        <v>0.63827999999999996</v>
      </c>
      <c r="F3" s="95">
        <f t="shared" si="2"/>
        <v>0</v>
      </c>
      <c r="G3" s="96">
        <v>0.65400000000000003</v>
      </c>
      <c r="H3" s="87">
        <f t="shared" ref="H3:H66" si="3">ROUNDDOWN(F3/G3,2)</f>
        <v>0</v>
      </c>
    </row>
    <row r="4" spans="1:9" x14ac:dyDescent="0.2">
      <c r="A4" s="87">
        <f t="shared" si="0"/>
        <v>0</v>
      </c>
      <c r="B4" s="87">
        <v>1969</v>
      </c>
      <c r="C4" s="93"/>
      <c r="D4" s="88">
        <v>159.79</v>
      </c>
      <c r="E4" s="94">
        <f t="shared" si="1"/>
        <v>0.62582000000000004</v>
      </c>
      <c r="F4" s="95">
        <f t="shared" si="2"/>
        <v>0</v>
      </c>
      <c r="G4" s="96">
        <v>0.67600000000000005</v>
      </c>
      <c r="H4" s="87">
        <f t="shared" si="3"/>
        <v>0</v>
      </c>
    </row>
    <row r="5" spans="1:9" x14ac:dyDescent="0.2">
      <c r="A5" s="87">
        <f t="shared" si="0"/>
        <v>0</v>
      </c>
      <c r="B5" s="87">
        <v>1970</v>
      </c>
      <c r="C5" s="93"/>
      <c r="D5" s="88">
        <v>166.67</v>
      </c>
      <c r="E5" s="94">
        <f t="shared" si="1"/>
        <v>0.59999000000000002</v>
      </c>
      <c r="F5" s="95">
        <f t="shared" si="2"/>
        <v>0</v>
      </c>
      <c r="G5" s="96">
        <v>0.71899999999999997</v>
      </c>
      <c r="H5" s="87">
        <f t="shared" si="3"/>
        <v>0</v>
      </c>
    </row>
    <row r="6" spans="1:9" x14ac:dyDescent="0.2">
      <c r="A6" s="87">
        <f t="shared" si="0"/>
        <v>0</v>
      </c>
      <c r="B6" s="87">
        <v>1971</v>
      </c>
      <c r="C6" s="93"/>
      <c r="D6" s="88">
        <v>174.38</v>
      </c>
      <c r="E6" s="94">
        <f t="shared" si="1"/>
        <v>0.57345999999999997</v>
      </c>
      <c r="F6" s="95">
        <f t="shared" si="2"/>
        <v>0</v>
      </c>
      <c r="G6" s="96">
        <v>0.746</v>
      </c>
      <c r="H6" s="87">
        <f t="shared" si="3"/>
        <v>0</v>
      </c>
    </row>
    <row r="7" spans="1:9" x14ac:dyDescent="0.2">
      <c r="A7" s="87">
        <f>IF(A6&gt;1,IF(C7&gt;=1,A6+1,A6),IF(C7&gt;=1,A6+1,A6))</f>
        <v>0</v>
      </c>
      <c r="B7" s="87">
        <v>1972</v>
      </c>
      <c r="C7" s="93"/>
      <c r="D7" s="88">
        <v>184.26</v>
      </c>
      <c r="E7" s="94">
        <f t="shared" si="1"/>
        <v>0.54271000000000003</v>
      </c>
      <c r="F7" s="95">
        <f t="shared" si="2"/>
        <v>0</v>
      </c>
      <c r="G7" s="96">
        <v>0.77500000000000002</v>
      </c>
      <c r="H7" s="87">
        <f t="shared" si="3"/>
        <v>0</v>
      </c>
    </row>
    <row r="8" spans="1:9" x14ac:dyDescent="0.2">
      <c r="A8" s="87">
        <f t="shared" si="0"/>
        <v>0</v>
      </c>
      <c r="B8" s="87">
        <v>1973</v>
      </c>
      <c r="C8" s="93"/>
      <c r="D8" s="88">
        <v>196.24</v>
      </c>
      <c r="E8" s="94">
        <f t="shared" si="1"/>
        <v>0.50958000000000003</v>
      </c>
      <c r="F8" s="95">
        <f t="shared" si="2"/>
        <v>0</v>
      </c>
      <c r="G8" s="96">
        <v>0.80600000000000005</v>
      </c>
      <c r="H8" s="87">
        <f t="shared" si="3"/>
        <v>0</v>
      </c>
    </row>
    <row r="9" spans="1:9" x14ac:dyDescent="0.2">
      <c r="A9" s="87">
        <f t="shared" si="0"/>
        <v>0</v>
      </c>
      <c r="B9" s="87">
        <v>1974</v>
      </c>
      <c r="C9" s="93"/>
      <c r="D9" s="88">
        <v>213.11</v>
      </c>
      <c r="E9" s="94">
        <f t="shared" si="1"/>
        <v>0.46923999999999999</v>
      </c>
      <c r="F9" s="95">
        <f t="shared" si="2"/>
        <v>0</v>
      </c>
      <c r="G9" s="96">
        <v>0.90100000000000002</v>
      </c>
      <c r="H9" s="87">
        <f t="shared" si="3"/>
        <v>0</v>
      </c>
    </row>
    <row r="10" spans="1:9" x14ac:dyDescent="0.2">
      <c r="A10" s="87">
        <f t="shared" si="0"/>
        <v>0</v>
      </c>
      <c r="B10" s="87">
        <v>1975</v>
      </c>
      <c r="C10" s="93"/>
      <c r="D10" s="88">
        <v>236.19</v>
      </c>
      <c r="E10" s="94">
        <f t="shared" si="1"/>
        <v>0.42338999999999999</v>
      </c>
      <c r="F10" s="95">
        <f t="shared" si="2"/>
        <v>0</v>
      </c>
      <c r="G10" s="96">
        <v>0.90100000000000002</v>
      </c>
      <c r="H10" s="87">
        <f t="shared" si="3"/>
        <v>0</v>
      </c>
    </row>
    <row r="11" spans="1:9" x14ac:dyDescent="0.2">
      <c r="A11" s="87">
        <f t="shared" si="0"/>
        <v>0</v>
      </c>
      <c r="B11" s="87">
        <v>1976</v>
      </c>
      <c r="C11" s="93"/>
      <c r="D11" s="88">
        <v>259.58999999999997</v>
      </c>
      <c r="E11" s="94">
        <f t="shared" si="1"/>
        <v>0.38522000000000001</v>
      </c>
      <c r="F11" s="95">
        <f t="shared" si="2"/>
        <v>0</v>
      </c>
      <c r="G11" s="96">
        <v>0.90900000000000003</v>
      </c>
      <c r="H11" s="87">
        <f t="shared" si="3"/>
        <v>0</v>
      </c>
    </row>
    <row r="12" spans="1:9" x14ac:dyDescent="0.2">
      <c r="A12" s="87">
        <f t="shared" si="0"/>
        <v>0</v>
      </c>
      <c r="B12" s="87">
        <v>1977</v>
      </c>
      <c r="C12" s="93">
        <v>0</v>
      </c>
      <c r="D12" s="88">
        <v>278.33999999999997</v>
      </c>
      <c r="E12" s="94">
        <f t="shared" si="1"/>
        <v>0.35926999999999998</v>
      </c>
      <c r="F12" s="95">
        <f t="shared" si="2"/>
        <v>0</v>
      </c>
      <c r="G12" s="96">
        <v>0.92600000000000005</v>
      </c>
      <c r="H12" s="87">
        <f t="shared" si="3"/>
        <v>0</v>
      </c>
    </row>
    <row r="13" spans="1:9" x14ac:dyDescent="0.2">
      <c r="A13" s="87">
        <f t="shared" si="0"/>
        <v>0</v>
      </c>
      <c r="B13" s="87">
        <v>1978</v>
      </c>
      <c r="C13" s="93">
        <v>0</v>
      </c>
      <c r="D13" s="88">
        <v>289.42</v>
      </c>
      <c r="E13" s="94">
        <f t="shared" si="1"/>
        <v>0.34551999999999999</v>
      </c>
      <c r="F13" s="95">
        <f t="shared" si="2"/>
        <v>0</v>
      </c>
      <c r="G13" s="96">
        <v>0.94299999999999995</v>
      </c>
      <c r="H13" s="87">
        <f t="shared" si="3"/>
        <v>0</v>
      </c>
    </row>
    <row r="14" spans="1:9" x14ac:dyDescent="0.2">
      <c r="A14" s="87">
        <f t="shared" si="0"/>
        <v>0</v>
      </c>
      <c r="B14" s="87">
        <v>1979</v>
      </c>
      <c r="C14" s="93">
        <v>0</v>
      </c>
      <c r="D14" s="88">
        <v>300.97000000000003</v>
      </c>
      <c r="E14" s="94">
        <f t="shared" si="1"/>
        <v>0.33226</v>
      </c>
      <c r="F14" s="95">
        <f t="shared" si="2"/>
        <v>0</v>
      </c>
      <c r="G14" s="96">
        <v>0.96199999999999997</v>
      </c>
      <c r="H14" s="87">
        <f t="shared" si="3"/>
        <v>0</v>
      </c>
    </row>
    <row r="15" spans="1:9" x14ac:dyDescent="0.2">
      <c r="A15" s="87">
        <f t="shared" si="0"/>
        <v>0</v>
      </c>
      <c r="B15" s="87">
        <v>1980</v>
      </c>
      <c r="C15" s="93">
        <v>0</v>
      </c>
      <c r="D15" s="88">
        <v>319.48</v>
      </c>
      <c r="E15" s="94">
        <f t="shared" si="1"/>
        <v>0.31301000000000001</v>
      </c>
      <c r="F15" s="95">
        <f t="shared" si="2"/>
        <v>0</v>
      </c>
      <c r="G15" s="96">
        <v>0.97099999999999997</v>
      </c>
      <c r="H15" s="87">
        <f t="shared" si="3"/>
        <v>0</v>
      </c>
    </row>
    <row r="16" spans="1:9" x14ac:dyDescent="0.2">
      <c r="A16" s="87">
        <f t="shared" si="0"/>
        <v>0</v>
      </c>
      <c r="B16" s="87">
        <v>1981</v>
      </c>
      <c r="C16" s="93">
        <v>0</v>
      </c>
      <c r="D16" s="88">
        <v>340.92</v>
      </c>
      <c r="E16" s="94">
        <f t="shared" si="1"/>
        <v>0.29332000000000003</v>
      </c>
      <c r="F16" s="95">
        <f t="shared" si="2"/>
        <v>0</v>
      </c>
      <c r="G16" s="96">
        <v>0.98</v>
      </c>
      <c r="H16" s="87">
        <f t="shared" si="3"/>
        <v>0</v>
      </c>
    </row>
    <row r="17" spans="1:9" x14ac:dyDescent="0.2">
      <c r="A17" s="87">
        <f t="shared" si="0"/>
        <v>0</v>
      </c>
      <c r="B17" s="87">
        <v>1982</v>
      </c>
      <c r="C17" s="93">
        <v>0</v>
      </c>
      <c r="D17" s="88">
        <v>358.31</v>
      </c>
      <c r="E17" s="94">
        <f t="shared" si="1"/>
        <v>0.27909</v>
      </c>
      <c r="F17" s="95">
        <f t="shared" si="2"/>
        <v>0</v>
      </c>
      <c r="G17" s="96">
        <v>1</v>
      </c>
      <c r="H17" s="87">
        <f t="shared" si="3"/>
        <v>0</v>
      </c>
    </row>
    <row r="18" spans="1:9" x14ac:dyDescent="0.2">
      <c r="A18" s="87">
        <f t="shared" si="0"/>
        <v>0</v>
      </c>
      <c r="B18" s="87">
        <v>1983</v>
      </c>
      <c r="C18" s="93">
        <v>0</v>
      </c>
      <c r="D18" s="88">
        <v>383.51</v>
      </c>
      <c r="E18" s="94">
        <f t="shared" si="1"/>
        <v>0.26074999999999998</v>
      </c>
      <c r="F18" s="95">
        <f t="shared" si="2"/>
        <v>0</v>
      </c>
      <c r="G18" s="96">
        <v>0.99</v>
      </c>
      <c r="H18" s="87">
        <f t="shared" si="3"/>
        <v>0</v>
      </c>
    </row>
    <row r="19" spans="1:9" x14ac:dyDescent="0.2">
      <c r="A19" s="87">
        <f t="shared" si="0"/>
        <v>0</v>
      </c>
      <c r="B19" s="87">
        <v>1984</v>
      </c>
      <c r="C19" s="93">
        <v>0</v>
      </c>
      <c r="D19" s="88">
        <v>405.33</v>
      </c>
      <c r="E19" s="94">
        <f t="shared" si="1"/>
        <v>0.24671000000000001</v>
      </c>
      <c r="F19" s="95">
        <f t="shared" si="2"/>
        <v>0</v>
      </c>
      <c r="G19" s="96">
        <v>1</v>
      </c>
      <c r="H19" s="87">
        <f t="shared" si="3"/>
        <v>0</v>
      </c>
      <c r="I19" s="87">
        <f>1.67*(D19/100)*G19*'Rente Berechnung'!$E$10</f>
        <v>216.608352</v>
      </c>
    </row>
    <row r="20" spans="1:9" x14ac:dyDescent="0.2">
      <c r="A20" s="87">
        <f t="shared" si="0"/>
        <v>0</v>
      </c>
      <c r="B20" s="87">
        <v>1985</v>
      </c>
      <c r="C20" s="93">
        <v>0</v>
      </c>
      <c r="D20" s="88">
        <v>416.31</v>
      </c>
      <c r="E20" s="94">
        <f t="shared" si="1"/>
        <v>0.24021000000000001</v>
      </c>
      <c r="F20" s="95">
        <f t="shared" si="2"/>
        <v>0</v>
      </c>
      <c r="G20" s="96">
        <v>1.01</v>
      </c>
      <c r="H20" s="87">
        <f t="shared" si="3"/>
        <v>0</v>
      </c>
      <c r="I20" s="87">
        <f>1.67*(D20/100)*G20*'Rente Berechnung'!$E$10</f>
        <v>224.70082463999998</v>
      </c>
    </row>
    <row r="21" spans="1:9" x14ac:dyDescent="0.2">
      <c r="A21" s="87">
        <f t="shared" si="0"/>
        <v>0</v>
      </c>
      <c r="B21" s="87">
        <v>1986</v>
      </c>
      <c r="C21" s="93">
        <v>0</v>
      </c>
      <c r="D21" s="88">
        <v>424.43</v>
      </c>
      <c r="E21" s="94">
        <f t="shared" si="1"/>
        <v>0.23561000000000001</v>
      </c>
      <c r="F21" s="95">
        <f t="shared" si="2"/>
        <v>0</v>
      </c>
      <c r="G21" s="96">
        <v>1.0329999999999999</v>
      </c>
      <c r="H21" s="87">
        <f t="shared" si="3"/>
        <v>0</v>
      </c>
      <c r="I21" s="87">
        <f>1.67*(D21/100)*G21*'Rente Berechnung'!$E$10</f>
        <v>234.30029993599996</v>
      </c>
    </row>
    <row r="22" spans="1:9" x14ac:dyDescent="0.2">
      <c r="A22" s="87">
        <f t="shared" si="0"/>
        <v>0</v>
      </c>
      <c r="B22" s="87">
        <v>1987</v>
      </c>
      <c r="C22" s="93">
        <v>0</v>
      </c>
      <c r="D22" s="88">
        <v>428.67</v>
      </c>
      <c r="E22" s="94">
        <f t="shared" si="1"/>
        <v>0.23327999999999999</v>
      </c>
      <c r="F22" s="95">
        <f t="shared" si="2"/>
        <v>0</v>
      </c>
      <c r="G22" s="96">
        <v>1.044</v>
      </c>
      <c r="H22" s="87">
        <f t="shared" si="3"/>
        <v>0</v>
      </c>
      <c r="I22" s="87">
        <f>1.67*(D22/100)*G22*'Rente Berechnung'!$E$10</f>
        <v>239.16082291199999</v>
      </c>
    </row>
    <row r="23" spans="1:9" x14ac:dyDescent="0.2">
      <c r="A23" s="87">
        <f t="shared" si="0"/>
        <v>0</v>
      </c>
      <c r="B23" s="87">
        <v>1988</v>
      </c>
      <c r="C23" s="93">
        <v>0</v>
      </c>
      <c r="D23" s="88">
        <v>429.56</v>
      </c>
      <c r="E23" s="94">
        <f>ROUND(100/D23,5)</f>
        <v>0.23280000000000001</v>
      </c>
      <c r="F23" s="95">
        <f t="shared" si="2"/>
        <v>0</v>
      </c>
      <c r="G23" s="96">
        <v>1.0569999999999999</v>
      </c>
      <c r="H23" s="87">
        <f t="shared" si="3"/>
        <v>0</v>
      </c>
      <c r="I23" s="87">
        <f>1.67*(D23/100)*G23*'Rente Berechnung'!$E$10</f>
        <v>242.64160524800002</v>
      </c>
    </row>
    <row r="24" spans="1:9" x14ac:dyDescent="0.2">
      <c r="A24" s="87">
        <f t="shared" si="0"/>
        <v>0</v>
      </c>
      <c r="B24" s="87">
        <v>1989</v>
      </c>
      <c r="C24" s="93">
        <v>0</v>
      </c>
      <c r="D24" s="88">
        <v>443.04</v>
      </c>
      <c r="E24" s="94">
        <f>ROUND(100/D24,5)</f>
        <v>0.22570999999999999</v>
      </c>
      <c r="F24" s="95">
        <f t="shared" si="2"/>
        <v>0</v>
      </c>
      <c r="G24" s="96">
        <v>1.0880000000000001</v>
      </c>
      <c r="H24" s="87">
        <f t="shared" si="3"/>
        <v>0</v>
      </c>
      <c r="I24" s="87">
        <f>1.67*(D24/100)*G24*'Rente Berechnung'!$E$10</f>
        <v>257.59550668800006</v>
      </c>
    </row>
    <row r="25" spans="1:9" x14ac:dyDescent="0.2">
      <c r="A25" s="87">
        <f t="shared" si="0"/>
        <v>0</v>
      </c>
      <c r="B25" s="87">
        <v>1990</v>
      </c>
      <c r="C25" s="93">
        <v>0</v>
      </c>
      <c r="D25" s="88">
        <v>457.86</v>
      </c>
      <c r="E25" s="94">
        <f t="shared" ref="E25:E70" si="4">ROUND(100/D25,5)</f>
        <v>0.21840999999999999</v>
      </c>
      <c r="F25" s="95">
        <f t="shared" si="2"/>
        <v>0</v>
      </c>
      <c r="G25" s="96">
        <v>1.103</v>
      </c>
      <c r="H25" s="87">
        <f t="shared" si="3"/>
        <v>0</v>
      </c>
      <c r="I25" s="87">
        <f>1.67*(D25/100)*G25*'Rente Berechnung'!$E$10</f>
        <v>269.88246355199999</v>
      </c>
    </row>
    <row r="26" spans="1:9" x14ac:dyDescent="0.2">
      <c r="A26" s="87">
        <f t="shared" si="0"/>
        <v>0</v>
      </c>
      <c r="B26" s="87">
        <v>1991</v>
      </c>
      <c r="C26" s="93">
        <v>0</v>
      </c>
      <c r="D26" s="88">
        <v>475.12</v>
      </c>
      <c r="E26" s="94">
        <f t="shared" si="4"/>
        <v>0.21046999999999999</v>
      </c>
      <c r="F26" s="95">
        <f t="shared" si="2"/>
        <v>0</v>
      </c>
      <c r="G26" s="96">
        <v>1.129</v>
      </c>
      <c r="H26" s="87">
        <f t="shared" si="3"/>
        <v>0</v>
      </c>
      <c r="I26" s="87">
        <f>1.67*(D26/100)*G26*'Rente Berechnung'!$E$10</f>
        <v>286.65776051199998</v>
      </c>
    </row>
    <row r="27" spans="1:9" x14ac:dyDescent="0.2">
      <c r="A27" s="87">
        <f t="shared" si="0"/>
        <v>1</v>
      </c>
      <c r="B27" s="87">
        <v>1992</v>
      </c>
      <c r="C27" s="93">
        <v>24000</v>
      </c>
      <c r="D27" s="88">
        <v>490.02</v>
      </c>
      <c r="E27" s="94">
        <f t="shared" si="4"/>
        <v>0.20407</v>
      </c>
      <c r="F27" s="95">
        <f t="shared" si="2"/>
        <v>4897.68</v>
      </c>
      <c r="G27" s="96">
        <v>1.1399999999999999</v>
      </c>
      <c r="H27" s="87">
        <f t="shared" si="3"/>
        <v>4296.21</v>
      </c>
      <c r="I27" s="87">
        <f>1.67*(D27/100)*G27*'Rente Berechnung'!$E$10</f>
        <v>298.52802431999999</v>
      </c>
    </row>
    <row r="28" spans="1:9" x14ac:dyDescent="0.2">
      <c r="A28" s="87">
        <f t="shared" si="0"/>
        <v>2</v>
      </c>
      <c r="B28" s="87">
        <v>1993</v>
      </c>
      <c r="C28" s="93">
        <v>28000</v>
      </c>
      <c r="D28" s="88">
        <v>505.37</v>
      </c>
      <c r="E28" s="94">
        <f t="shared" si="4"/>
        <v>0.19786999999999999</v>
      </c>
      <c r="F28" s="95">
        <f t="shared" si="2"/>
        <v>5540.36</v>
      </c>
      <c r="G28" s="96">
        <v>1.1639999999999999</v>
      </c>
      <c r="H28" s="87">
        <f t="shared" si="3"/>
        <v>4759.75</v>
      </c>
      <c r="I28" s="87">
        <f>1.67*(D28/100)*G28*'Rente Berechnung'!$E$10</f>
        <v>314.36116339199998</v>
      </c>
    </row>
    <row r="29" spans="1:9" x14ac:dyDescent="0.2">
      <c r="A29" s="87">
        <f t="shared" si="0"/>
        <v>3</v>
      </c>
      <c r="B29" s="87">
        <v>1994</v>
      </c>
      <c r="C29" s="93">
        <v>31000</v>
      </c>
      <c r="D29" s="88">
        <v>521.17999999999995</v>
      </c>
      <c r="E29" s="94">
        <f t="shared" si="4"/>
        <v>0.19187000000000001</v>
      </c>
      <c r="F29" s="95">
        <f t="shared" si="2"/>
        <v>5947.97</v>
      </c>
      <c r="G29" s="96">
        <v>1.1830000000000001</v>
      </c>
      <c r="H29" s="87">
        <f t="shared" si="3"/>
        <v>5027.8599999999997</v>
      </c>
      <c r="I29" s="87">
        <f>1.67*(D29/100)*G29*'Rente Berechnung'!$E$10</f>
        <v>329.48749433599994</v>
      </c>
    </row>
    <row r="30" spans="1:9" x14ac:dyDescent="0.2">
      <c r="A30" s="87">
        <f t="shared" si="0"/>
        <v>4</v>
      </c>
      <c r="B30" s="87">
        <v>1995</v>
      </c>
      <c r="C30" s="93">
        <v>34000</v>
      </c>
      <c r="D30" s="88">
        <v>530.94000000000005</v>
      </c>
      <c r="E30" s="94">
        <f t="shared" si="4"/>
        <v>0.18834999999999999</v>
      </c>
      <c r="F30" s="95">
        <f t="shared" si="2"/>
        <v>6403.9</v>
      </c>
      <c r="G30" s="96">
        <v>1.202</v>
      </c>
      <c r="H30" s="87">
        <f t="shared" si="3"/>
        <v>5327.7</v>
      </c>
      <c r="I30" s="87">
        <f>1.67*(D30/100)*G30*'Rente Berechnung'!$E$10</f>
        <v>341.04867187199994</v>
      </c>
    </row>
    <row r="31" spans="1:9" x14ac:dyDescent="0.2">
      <c r="A31" s="87">
        <f t="shared" si="0"/>
        <v>5</v>
      </c>
      <c r="B31" s="87">
        <v>1996</v>
      </c>
      <c r="C31" s="93">
        <v>39000</v>
      </c>
      <c r="D31" s="88">
        <v>535.29</v>
      </c>
      <c r="E31" s="94">
        <f t="shared" si="4"/>
        <v>0.18681</v>
      </c>
      <c r="F31" s="95">
        <f t="shared" si="2"/>
        <v>7285.59</v>
      </c>
      <c r="G31" s="96">
        <v>1.2110000000000001</v>
      </c>
      <c r="H31" s="87">
        <f t="shared" si="3"/>
        <v>6016.17</v>
      </c>
      <c r="I31" s="87">
        <f>1.67*(D31/100)*G31*'Rente Berechnung'!$E$10</f>
        <v>346.41741993599999</v>
      </c>
    </row>
    <row r="32" spans="1:9" x14ac:dyDescent="0.2">
      <c r="A32" s="87">
        <f>IF(A31&gt;1,IF(C32&gt;=1,A31+1,A31),IF(C32&gt;=1,A31+1,A31))</f>
        <v>6</v>
      </c>
      <c r="B32" s="87">
        <v>1997</v>
      </c>
      <c r="C32" s="93">
        <v>40000</v>
      </c>
      <c r="D32" s="88">
        <v>547.55999999999995</v>
      </c>
      <c r="E32" s="94">
        <f t="shared" si="4"/>
        <v>0.18262999999999999</v>
      </c>
      <c r="F32" s="95">
        <f>ROUND(C32*E32,2)</f>
        <v>7305.2</v>
      </c>
      <c r="G32" s="96">
        <v>1.218</v>
      </c>
      <c r="H32" s="87">
        <f t="shared" si="3"/>
        <v>5997.7</v>
      </c>
      <c r="I32" s="87">
        <f>1.67*(D32/100)*G32*'Rente Berechnung'!$E$10</f>
        <v>356.40636595199993</v>
      </c>
    </row>
    <row r="33" spans="1:9" x14ac:dyDescent="0.2">
      <c r="A33" s="87">
        <f>IF(A32&gt;1,IF(C33&gt;=1,A32+1,A32),IF(C33&gt;=1,A32+1,A32))</f>
        <v>7</v>
      </c>
      <c r="B33" s="87">
        <v>1998</v>
      </c>
      <c r="C33" s="93">
        <v>43000</v>
      </c>
      <c r="D33" s="88">
        <v>548.66999999999996</v>
      </c>
      <c r="E33" s="94">
        <f t="shared" si="4"/>
        <v>0.18226000000000001</v>
      </c>
      <c r="F33" s="95">
        <f>ROUND(C33*E33,2)</f>
        <v>7837.18</v>
      </c>
      <c r="G33" s="96">
        <v>1.2330000000000001</v>
      </c>
      <c r="H33" s="87">
        <f t="shared" si="3"/>
        <v>6356.18</v>
      </c>
      <c r="I33" s="87">
        <f>1.67*(D33/100)*G33*'Rente Berechnung'!$E$10</f>
        <v>361.52700278400005</v>
      </c>
    </row>
    <row r="34" spans="1:9" x14ac:dyDescent="0.2">
      <c r="A34" s="87">
        <f>IF(A33&gt;1,IF(C34&gt;=1,A33+1,A33),IF(C34&gt;=1,A33+1,A33))</f>
        <v>8</v>
      </c>
      <c r="B34" s="87">
        <v>1999</v>
      </c>
      <c r="C34" s="93">
        <v>44000</v>
      </c>
      <c r="D34" s="88">
        <v>554.38</v>
      </c>
      <c r="E34" s="94">
        <f t="shared" si="4"/>
        <v>0.18038000000000001</v>
      </c>
      <c r="F34" s="95">
        <f>ROUND(C34*E34,2)</f>
        <v>7936.72</v>
      </c>
      <c r="G34" s="96">
        <v>1.2549999999999999</v>
      </c>
      <c r="H34" s="87">
        <f t="shared" si="3"/>
        <v>6324.07</v>
      </c>
      <c r="I34" s="87">
        <f>1.67*(D34/100)*G34*'Rente Berechnung'!$E$10</f>
        <v>371.80714335999994</v>
      </c>
    </row>
    <row r="35" spans="1:9" x14ac:dyDescent="0.2">
      <c r="A35" s="87">
        <f>IF(A34&gt;1,IF(C35&gt;=1,A34+1,A34),IF(C35&gt;=1,A34+1,A34))</f>
        <v>9</v>
      </c>
      <c r="B35" s="87">
        <v>2000</v>
      </c>
      <c r="C35" s="93">
        <v>47000</v>
      </c>
      <c r="D35" s="88">
        <v>569.41</v>
      </c>
      <c r="E35" s="94">
        <f t="shared" si="4"/>
        <v>0.17562</v>
      </c>
      <c r="F35" s="95">
        <f>ROUND(C35*E35,2)</f>
        <v>8254.14</v>
      </c>
      <c r="G35" s="96">
        <v>1.2769999999999999</v>
      </c>
      <c r="H35" s="87">
        <f t="shared" si="3"/>
        <v>6463.69</v>
      </c>
      <c r="I35" s="87">
        <f>1.67*(D35/100)*G35*'Rente Berechnung'!$E$10</f>
        <v>388.58178300799995</v>
      </c>
    </row>
    <row r="36" spans="1:9" x14ac:dyDescent="0.2">
      <c r="A36" s="87">
        <f>IF(A35&gt;1,IF(C36&gt;=1,A35+1,A35),IF(C36&gt;=1,A35+1,A35))</f>
        <v>10</v>
      </c>
      <c r="B36" s="87">
        <v>2001</v>
      </c>
      <c r="C36" s="93">
        <v>52000</v>
      </c>
      <c r="D36" s="88">
        <v>587.24</v>
      </c>
      <c r="E36" s="94">
        <f t="shared" si="4"/>
        <v>0.17029</v>
      </c>
      <c r="F36" s="95">
        <f>ROUND(C36*E36,2)</f>
        <v>8855.08</v>
      </c>
      <c r="G36" s="96">
        <v>1.2989999999999999</v>
      </c>
      <c r="H36" s="87">
        <f t="shared" si="3"/>
        <v>6816.84</v>
      </c>
      <c r="I36" s="87">
        <f>1.67*(D36/100)*G36*'Rente Berechnung'!$E$10</f>
        <v>407.65355174399997</v>
      </c>
    </row>
    <row r="37" spans="1:9" x14ac:dyDescent="0.2">
      <c r="A37" s="87">
        <f t="shared" si="0"/>
        <v>11</v>
      </c>
      <c r="B37" s="87">
        <v>2002</v>
      </c>
      <c r="C37" s="93">
        <v>55000</v>
      </c>
      <c r="D37" s="88">
        <v>599.46</v>
      </c>
      <c r="E37" s="94">
        <f t="shared" si="4"/>
        <v>0.16682</v>
      </c>
      <c r="F37" s="95">
        <f t="shared" ref="F37:F65" si="5">ROUND(C37*E37,2)</f>
        <v>9175.1</v>
      </c>
      <c r="G37" s="96">
        <v>1.3160000000000001</v>
      </c>
      <c r="H37" s="87">
        <f t="shared" si="3"/>
        <v>6971.96</v>
      </c>
      <c r="I37" s="87">
        <f>1.67*(D37/100)*G37*'Rente Berechnung'!$E$10</f>
        <v>421.58247398400005</v>
      </c>
    </row>
    <row r="38" spans="1:9" x14ac:dyDescent="0.2">
      <c r="A38" s="87">
        <f t="shared" si="0"/>
        <v>12</v>
      </c>
      <c r="B38" s="87">
        <v>2003</v>
      </c>
      <c r="C38" s="93">
        <v>56000</v>
      </c>
      <c r="D38" s="88">
        <v>611.91999999999996</v>
      </c>
      <c r="E38" s="94">
        <f t="shared" si="4"/>
        <v>0.16342000000000001</v>
      </c>
      <c r="F38" s="95">
        <f t="shared" si="5"/>
        <v>9151.52</v>
      </c>
      <c r="G38" s="96">
        <v>1.325</v>
      </c>
      <c r="H38" s="87">
        <f t="shared" si="3"/>
        <v>6906.8</v>
      </c>
      <c r="I38" s="87">
        <f>1.67*(D38/100)*G38*'Rente Berechnung'!$E$10</f>
        <v>433.28831359999987</v>
      </c>
    </row>
    <row r="39" spans="1:9" x14ac:dyDescent="0.2">
      <c r="A39" s="87">
        <f t="shared" si="0"/>
        <v>13</v>
      </c>
      <c r="B39" s="87">
        <v>2004</v>
      </c>
      <c r="C39" s="93">
        <v>61000</v>
      </c>
      <c r="D39" s="88">
        <v>624.63</v>
      </c>
      <c r="E39" s="94">
        <f t="shared" si="4"/>
        <v>0.16009000000000001</v>
      </c>
      <c r="F39" s="95">
        <f t="shared" si="5"/>
        <v>9765.49</v>
      </c>
      <c r="G39" s="96">
        <v>1.337</v>
      </c>
      <c r="H39" s="87">
        <f>ROUNDDOWN(F39/G39,2)</f>
        <v>7304.03</v>
      </c>
      <c r="I39" s="87">
        <f>1.67*(D39/100)*G39*'Rente Berechnung'!$E$10</f>
        <v>446.29363766399996</v>
      </c>
    </row>
    <row r="40" spans="1:9" x14ac:dyDescent="0.2">
      <c r="A40" s="87">
        <f t="shared" si="0"/>
        <v>14</v>
      </c>
      <c r="B40" s="87">
        <v>2005</v>
      </c>
      <c r="C40" s="93">
        <v>63000</v>
      </c>
      <c r="D40" s="88">
        <v>640.24</v>
      </c>
      <c r="E40" s="94">
        <f t="shared" si="4"/>
        <v>0.15619</v>
      </c>
      <c r="F40" s="95">
        <f t="shared" si="5"/>
        <v>9839.9699999999993</v>
      </c>
      <c r="G40" s="96">
        <v>1.35</v>
      </c>
      <c r="H40" s="87">
        <f t="shared" si="3"/>
        <v>7288.86</v>
      </c>
      <c r="I40" s="87">
        <f>1.67*(D40/100)*G40*'Rente Berechnung'!$E$10</f>
        <v>461.89474560000002</v>
      </c>
    </row>
    <row r="41" spans="1:9" x14ac:dyDescent="0.2">
      <c r="A41" s="87">
        <f t="shared" si="0"/>
        <v>15</v>
      </c>
      <c r="B41" s="87">
        <v>2006</v>
      </c>
      <c r="C41" s="93">
        <v>68000</v>
      </c>
      <c r="D41" s="88">
        <v>653.52</v>
      </c>
      <c r="E41" s="94">
        <f t="shared" si="4"/>
        <v>0.15301999999999999</v>
      </c>
      <c r="F41" s="95">
        <f t="shared" si="5"/>
        <v>10405.36</v>
      </c>
      <c r="G41" s="96">
        <v>1.3680000000000001</v>
      </c>
      <c r="H41" s="87">
        <f t="shared" si="3"/>
        <v>7606.25</v>
      </c>
      <c r="I41" s="87">
        <f>1.67*(D41/100)*G41*'Rente Berechnung'!$E$10</f>
        <v>477.76180838400001</v>
      </c>
    </row>
    <row r="42" spans="1:9" x14ac:dyDescent="0.2">
      <c r="A42" s="87">
        <f t="shared" si="0"/>
        <v>16</v>
      </c>
      <c r="B42" s="87">
        <v>2007</v>
      </c>
      <c r="C42" s="93">
        <v>69000</v>
      </c>
      <c r="D42" s="88">
        <v>668.46</v>
      </c>
      <c r="E42" s="94">
        <f t="shared" si="4"/>
        <v>0.14960000000000001</v>
      </c>
      <c r="F42" s="95">
        <f t="shared" si="5"/>
        <v>10322.4</v>
      </c>
      <c r="G42" s="96">
        <v>1.377</v>
      </c>
      <c r="H42" s="87">
        <f t="shared" si="3"/>
        <v>7496.29</v>
      </c>
      <c r="I42" s="87">
        <f>1.67*(D42/100)*G42*'Rente Berechnung'!$E$10</f>
        <v>491.89885804800002</v>
      </c>
    </row>
    <row r="43" spans="1:9" x14ac:dyDescent="0.2">
      <c r="A43" s="87">
        <f t="shared" si="0"/>
        <v>17</v>
      </c>
      <c r="B43" s="87">
        <v>2008</v>
      </c>
      <c r="C43" s="93">
        <v>75000</v>
      </c>
      <c r="D43" s="88">
        <v>682.39</v>
      </c>
      <c r="E43" s="94">
        <f t="shared" si="4"/>
        <v>0.14654</v>
      </c>
      <c r="F43" s="95">
        <f t="shared" si="5"/>
        <v>10990.5</v>
      </c>
      <c r="G43" s="96">
        <v>1.391</v>
      </c>
      <c r="H43" s="87">
        <f t="shared" si="3"/>
        <v>7901.15</v>
      </c>
      <c r="I43" s="87">
        <f>1.67*(D43/100)*G43*'Rente Berechnung'!$E$10</f>
        <v>507.25487945600003</v>
      </c>
    </row>
    <row r="44" spans="1:9" x14ac:dyDescent="0.2">
      <c r="A44" s="87">
        <f t="shared" si="0"/>
        <v>18</v>
      </c>
      <c r="B44" s="87">
        <v>2009</v>
      </c>
      <c r="C44" s="93">
        <v>78000</v>
      </c>
      <c r="D44" s="88">
        <v>699.44</v>
      </c>
      <c r="E44" s="94">
        <f t="shared" si="4"/>
        <v>0.14297000000000001</v>
      </c>
      <c r="F44" s="95">
        <f t="shared" si="5"/>
        <v>11151.66</v>
      </c>
      <c r="G44" s="96">
        <v>1.403</v>
      </c>
      <c r="H44" s="87">
        <f t="shared" si="3"/>
        <v>7948.43</v>
      </c>
      <c r="I44" s="87">
        <f>1.67*(D44/100)*G44*'Rente Berechnung'!$E$10</f>
        <v>524.41437260800001</v>
      </c>
    </row>
    <row r="45" spans="1:9" x14ac:dyDescent="0.2">
      <c r="A45" s="87">
        <f t="shared" si="0"/>
        <v>19</v>
      </c>
      <c r="B45" s="87">
        <v>2010</v>
      </c>
      <c r="C45" s="93">
        <v>81000</v>
      </c>
      <c r="D45" s="88">
        <v>711.07</v>
      </c>
      <c r="E45" s="94">
        <f t="shared" si="4"/>
        <v>0.14063000000000001</v>
      </c>
      <c r="F45" s="95">
        <f t="shared" si="5"/>
        <v>11391.03</v>
      </c>
      <c r="G45" s="96">
        <v>1.4179999999999999</v>
      </c>
      <c r="H45" s="87">
        <f t="shared" si="3"/>
        <v>8033.16</v>
      </c>
      <c r="I45" s="87">
        <f>1.67*(D45/100)*G45*'Rente Berechnung'!$E$10</f>
        <v>538.83405574400001</v>
      </c>
    </row>
    <row r="46" spans="1:9" x14ac:dyDescent="0.2">
      <c r="A46" s="87">
        <f t="shared" si="0"/>
        <v>20</v>
      </c>
      <c r="B46" s="87">
        <v>2011</v>
      </c>
      <c r="C46" s="93">
        <v>85000</v>
      </c>
      <c r="D46" s="88">
        <v>724.34</v>
      </c>
      <c r="E46" s="94">
        <f t="shared" si="4"/>
        <v>0.13805999999999999</v>
      </c>
      <c r="F46" s="95">
        <f t="shared" si="5"/>
        <v>11735.1</v>
      </c>
      <c r="G46" s="96">
        <v>1.4239999999999999</v>
      </c>
      <c r="H46" s="87">
        <f t="shared" si="3"/>
        <v>8240.94</v>
      </c>
      <c r="I46" s="87">
        <f>1.67*(D46/100)*G46*'Rente Berechnung'!$E$10</f>
        <v>551.2123095039999</v>
      </c>
    </row>
    <row r="47" spans="1:9" x14ac:dyDescent="0.2">
      <c r="A47" s="87">
        <f t="shared" si="0"/>
        <v>21</v>
      </c>
      <c r="B47" s="87">
        <v>2012</v>
      </c>
      <c r="C47" s="93">
        <v>90000</v>
      </c>
      <c r="D47" s="88">
        <v>742.44</v>
      </c>
      <c r="E47" s="94">
        <f t="shared" si="4"/>
        <v>0.13469</v>
      </c>
      <c r="F47" s="95">
        <f t="shared" si="5"/>
        <v>12122.1</v>
      </c>
      <c r="G47" s="96">
        <v>1.42</v>
      </c>
      <c r="H47" s="87">
        <f t="shared" si="3"/>
        <v>8536.69</v>
      </c>
      <c r="I47" s="87">
        <f>1.67*(D47/100)*G47*'Rente Berechnung'!$E$10</f>
        <v>563.39910911999993</v>
      </c>
    </row>
    <row r="48" spans="1:9" x14ac:dyDescent="0.2">
      <c r="A48" s="87">
        <f t="shared" si="0"/>
        <v>22</v>
      </c>
      <c r="B48" s="87">
        <v>2013</v>
      </c>
      <c r="C48" s="93">
        <v>94000</v>
      </c>
      <c r="D48" s="88">
        <v>761</v>
      </c>
      <c r="E48" s="94">
        <f t="shared" si="4"/>
        <v>0.13141</v>
      </c>
      <c r="F48" s="95">
        <f t="shared" si="5"/>
        <v>12352.54</v>
      </c>
      <c r="G48" s="96">
        <v>1.4259999999999999</v>
      </c>
      <c r="H48" s="87">
        <f t="shared" si="3"/>
        <v>8662.3700000000008</v>
      </c>
      <c r="I48" s="87">
        <f>1.67*(D48/100)*G48*'Rente Berechnung'!$E$10</f>
        <v>579.9233984</v>
      </c>
    </row>
    <row r="49" spans="1:9" x14ac:dyDescent="0.2">
      <c r="A49" s="87">
        <f t="shared" si="0"/>
        <v>23</v>
      </c>
      <c r="B49" s="87">
        <v>2014</v>
      </c>
      <c r="C49" s="93">
        <v>97000</v>
      </c>
      <c r="D49" s="88">
        <v>775.17</v>
      </c>
      <c r="E49" s="94">
        <f t="shared" si="4"/>
        <v>0.129</v>
      </c>
      <c r="F49" s="95">
        <f t="shared" si="5"/>
        <v>12513</v>
      </c>
      <c r="G49" s="96">
        <v>1.4330000000000001</v>
      </c>
      <c r="H49" s="87">
        <f t="shared" si="3"/>
        <v>8732.0300000000007</v>
      </c>
      <c r="I49" s="87">
        <f>1.67*(D49/100)*G49*'Rente Berechnung'!$E$10</f>
        <v>593.62146518399993</v>
      </c>
    </row>
    <row r="50" spans="1:9" x14ac:dyDescent="0.2">
      <c r="A50" s="87">
        <f t="shared" si="0"/>
        <v>24</v>
      </c>
      <c r="B50" s="87">
        <v>2015</v>
      </c>
      <c r="C50" s="93">
        <v>98000</v>
      </c>
      <c r="D50" s="88">
        <v>775.17</v>
      </c>
      <c r="E50" s="94">
        <f t="shared" si="4"/>
        <v>0.129</v>
      </c>
      <c r="F50" s="95">
        <f t="shared" si="5"/>
        <v>12642</v>
      </c>
      <c r="G50" s="96">
        <v>1.446</v>
      </c>
      <c r="H50" s="87">
        <f t="shared" si="3"/>
        <v>8742.73</v>
      </c>
      <c r="I50" s="87">
        <f>1.67*(D50/100)*G50*'Rente Berechnung'!$E$10</f>
        <v>599.00672620799992</v>
      </c>
    </row>
    <row r="51" spans="1:9" x14ac:dyDescent="0.2">
      <c r="A51" s="87">
        <f t="shared" si="0"/>
        <v>25</v>
      </c>
      <c r="B51" s="87">
        <v>2016</v>
      </c>
      <c r="C51" s="97">
        <v>101000</v>
      </c>
      <c r="D51" s="88">
        <v>775.17</v>
      </c>
      <c r="E51" s="94">
        <f t="shared" si="4"/>
        <v>0.129</v>
      </c>
      <c r="F51" s="95">
        <f t="shared" si="5"/>
        <v>13029</v>
      </c>
      <c r="G51" s="96">
        <v>1.45</v>
      </c>
      <c r="H51" s="87">
        <f t="shared" si="3"/>
        <v>8985.51</v>
      </c>
      <c r="I51" s="87">
        <f>1.67*(D51/100)*G51*'Rente Berechnung'!$E$10</f>
        <v>600.6637295999999</v>
      </c>
    </row>
    <row r="52" spans="1:9" x14ac:dyDescent="0.2">
      <c r="A52" s="87">
        <f t="shared" si="0"/>
        <v>26</v>
      </c>
      <c r="B52" s="87">
        <v>2017</v>
      </c>
      <c r="C52" s="97">
        <v>116000</v>
      </c>
      <c r="D52" s="88">
        <v>794.54</v>
      </c>
      <c r="E52" s="94">
        <f t="shared" si="4"/>
        <v>0.12586</v>
      </c>
      <c r="F52" s="95">
        <f t="shared" si="5"/>
        <v>14599.76</v>
      </c>
      <c r="G52" s="96">
        <v>1.462</v>
      </c>
      <c r="H52" s="87">
        <f t="shared" si="3"/>
        <v>9986.15</v>
      </c>
      <c r="I52" s="87">
        <f>1.67*(D52/100)*G52*'Rente Berechnung'!$E$10</f>
        <v>620.76838131199986</v>
      </c>
    </row>
    <row r="53" spans="1:9" x14ac:dyDescent="0.2">
      <c r="A53" s="87">
        <f t="shared" si="0"/>
        <v>27</v>
      </c>
      <c r="B53" s="87">
        <v>2018</v>
      </c>
      <c r="C53" s="97">
        <v>119311.22</v>
      </c>
      <c r="D53" s="88">
        <v>802.82</v>
      </c>
      <c r="E53" s="94">
        <f t="shared" si="4"/>
        <v>0.12456</v>
      </c>
      <c r="F53" s="95">
        <f t="shared" si="5"/>
        <v>14861.41</v>
      </c>
      <c r="G53" s="96">
        <v>1.484</v>
      </c>
      <c r="H53" s="87">
        <f t="shared" si="3"/>
        <v>10014.42</v>
      </c>
      <c r="I53" s="87">
        <f>1.67*(D53/100)*G53*'Rente Berechnung'!$E$10</f>
        <v>636.67607987199995</v>
      </c>
    </row>
    <row r="54" spans="1:9" x14ac:dyDescent="0.2">
      <c r="A54" s="87">
        <f t="shared" si="0"/>
        <v>28</v>
      </c>
      <c r="B54" s="87">
        <v>2019</v>
      </c>
      <c r="C54" s="97">
        <v>123369.49</v>
      </c>
      <c r="D54" s="88">
        <v>814.4</v>
      </c>
      <c r="E54" s="94">
        <f t="shared" si="4"/>
        <v>0.12279</v>
      </c>
      <c r="F54" s="95">
        <f t="shared" si="5"/>
        <v>15148.54</v>
      </c>
      <c r="G54" s="96">
        <v>1.5029999999999999</v>
      </c>
      <c r="H54" s="87">
        <f t="shared" si="3"/>
        <v>10078.86</v>
      </c>
      <c r="I54" s="87">
        <f>1.67*(D54/100)*G54*'Rente Berechnung'!$E$10</f>
        <v>654.12868607999997</v>
      </c>
    </row>
    <row r="55" spans="1:9" x14ac:dyDescent="0.2">
      <c r="A55" s="87">
        <f t="shared" si="0"/>
        <v>29</v>
      </c>
      <c r="B55" s="87">
        <v>2020</v>
      </c>
      <c r="C55" s="156">
        <v>128519.64</v>
      </c>
      <c r="D55" s="88">
        <v>834.76</v>
      </c>
      <c r="E55" s="94">
        <f t="shared" si="4"/>
        <v>0.11978999999999999</v>
      </c>
      <c r="F55" s="95">
        <f t="shared" si="5"/>
        <v>15395.37</v>
      </c>
      <c r="G55" s="96">
        <v>1.52</v>
      </c>
      <c r="H55" s="87">
        <f t="shared" si="3"/>
        <v>10128.530000000001</v>
      </c>
      <c r="I55" s="87">
        <f>1.67*(D55/100)*G55*'Rente Berechnung'!$E$10</f>
        <v>678.06553087999998</v>
      </c>
    </row>
    <row r="56" spans="1:9" x14ac:dyDescent="0.2">
      <c r="A56" s="87">
        <f t="shared" si="0"/>
        <v>30</v>
      </c>
      <c r="B56" s="87">
        <v>2021</v>
      </c>
      <c r="C56" s="98">
        <v>132941.16</v>
      </c>
      <c r="D56" s="88">
        <v>839.98</v>
      </c>
      <c r="E56" s="94">
        <f t="shared" si="4"/>
        <v>0.11905</v>
      </c>
      <c r="F56" s="95">
        <f t="shared" si="5"/>
        <v>15826.65</v>
      </c>
      <c r="G56" s="99">
        <v>1.52</v>
      </c>
      <c r="H56" s="87">
        <f t="shared" si="3"/>
        <v>10412.26</v>
      </c>
      <c r="I56" s="87">
        <f>1.67*(D56/100)*G56*'Rente Berechnung'!$E$10</f>
        <v>682.30567424000003</v>
      </c>
    </row>
    <row r="57" spans="1:9" x14ac:dyDescent="0.2">
      <c r="A57" s="87">
        <f t="shared" si="0"/>
        <v>31</v>
      </c>
      <c r="B57" s="87">
        <v>2022</v>
      </c>
      <c r="C57" s="98">
        <v>137956.23000000001</v>
      </c>
      <c r="D57" s="147">
        <f>((855.62*3)+(877.01*9))/12</f>
        <v>871.66250000000002</v>
      </c>
      <c r="E57" s="94">
        <f t="shared" si="4"/>
        <v>0.11472</v>
      </c>
      <c r="F57" s="95">
        <f t="shared" si="5"/>
        <v>15826.34</v>
      </c>
      <c r="G57" s="99">
        <v>1.52</v>
      </c>
      <c r="H57" s="87">
        <f t="shared" si="3"/>
        <v>10412.06</v>
      </c>
      <c r="I57" s="87">
        <f>1.67*(D57/100)*G57*'Rente Berechnung'!$E$10</f>
        <v>708.04098880000004</v>
      </c>
    </row>
    <row r="58" spans="1:9" x14ac:dyDescent="0.2">
      <c r="A58" s="87">
        <f t="shared" si="0"/>
        <v>32</v>
      </c>
      <c r="B58" s="87">
        <v>2023</v>
      </c>
      <c r="C58" s="98">
        <v>150532.12</v>
      </c>
      <c r="D58" s="147">
        <f>(877.01+898.93+898.93+(5*921.4)+(4*944.43))/12</f>
        <v>921.63250000000005</v>
      </c>
      <c r="E58" s="94">
        <f t="shared" si="4"/>
        <v>0.1085</v>
      </c>
      <c r="F58" s="95">
        <f t="shared" si="5"/>
        <v>16332.74</v>
      </c>
      <c r="G58" s="99">
        <v>1.52</v>
      </c>
      <c r="H58" s="87">
        <f t="shared" si="3"/>
        <v>10745.22</v>
      </c>
      <c r="I58" s="87">
        <f>1.67*(D58/100)*G58*'Rente Berechnung'!$E$10</f>
        <v>748.63102016000005</v>
      </c>
    </row>
    <row r="59" spans="1:9" x14ac:dyDescent="0.2">
      <c r="A59" s="87">
        <f t="shared" si="0"/>
        <v>32</v>
      </c>
      <c r="B59" s="87">
        <v>2024</v>
      </c>
      <c r="C59" s="98">
        <v>0</v>
      </c>
      <c r="D59" s="100">
        <v>855.62</v>
      </c>
      <c r="E59" s="94">
        <f t="shared" si="4"/>
        <v>0.11687</v>
      </c>
      <c r="F59" s="95">
        <f t="shared" si="5"/>
        <v>0</v>
      </c>
      <c r="G59" s="99">
        <v>1.52</v>
      </c>
      <c r="H59" s="87">
        <f t="shared" si="3"/>
        <v>0</v>
      </c>
      <c r="I59" s="87">
        <f>1.67*(D59/100)*G59*'Rente Berechnung'!$E$10</f>
        <v>695.00985856</v>
      </c>
    </row>
    <row r="60" spans="1:9" x14ac:dyDescent="0.2">
      <c r="A60" s="87">
        <f t="shared" si="0"/>
        <v>32</v>
      </c>
      <c r="B60" s="87">
        <v>2025</v>
      </c>
      <c r="C60" s="98">
        <v>0</v>
      </c>
      <c r="D60" s="100">
        <v>855.62</v>
      </c>
      <c r="E60" s="94">
        <f t="shared" si="4"/>
        <v>0.11687</v>
      </c>
      <c r="F60" s="95">
        <f t="shared" si="5"/>
        <v>0</v>
      </c>
      <c r="G60" s="99">
        <v>1.52</v>
      </c>
      <c r="H60" s="87">
        <f t="shared" si="3"/>
        <v>0</v>
      </c>
      <c r="I60" s="87">
        <f>1.67*(D60/100)*G60*'Rente Berechnung'!$E$10</f>
        <v>695.00985856</v>
      </c>
    </row>
    <row r="61" spans="1:9" x14ac:dyDescent="0.2">
      <c r="A61" s="87">
        <f t="shared" si="0"/>
        <v>32</v>
      </c>
      <c r="B61" s="87">
        <v>2026</v>
      </c>
      <c r="C61" s="98">
        <v>0</v>
      </c>
      <c r="D61" s="100">
        <v>855.62</v>
      </c>
      <c r="E61" s="94">
        <f t="shared" si="4"/>
        <v>0.11687</v>
      </c>
      <c r="F61" s="95">
        <f t="shared" si="5"/>
        <v>0</v>
      </c>
      <c r="G61" s="99">
        <v>1.52</v>
      </c>
      <c r="H61" s="87">
        <f t="shared" si="3"/>
        <v>0</v>
      </c>
      <c r="I61" s="87">
        <f>1.67*(D61/100)*G61*'Rente Berechnung'!$E$10</f>
        <v>695.00985856</v>
      </c>
    </row>
    <row r="62" spans="1:9" x14ac:dyDescent="0.2">
      <c r="A62" s="87">
        <f t="shared" si="0"/>
        <v>32</v>
      </c>
      <c r="B62" s="87">
        <v>2027</v>
      </c>
      <c r="C62" s="98">
        <v>0</v>
      </c>
      <c r="D62" s="100">
        <v>855.62</v>
      </c>
      <c r="E62" s="94">
        <f t="shared" si="4"/>
        <v>0.11687</v>
      </c>
      <c r="F62" s="95">
        <f t="shared" si="5"/>
        <v>0</v>
      </c>
      <c r="G62" s="99">
        <v>1.52</v>
      </c>
      <c r="H62" s="87">
        <f t="shared" si="3"/>
        <v>0</v>
      </c>
      <c r="I62" s="87">
        <f>1.67*(D62/100)*G62*'Rente Berechnung'!$E$10</f>
        <v>695.00985856</v>
      </c>
    </row>
    <row r="63" spans="1:9" x14ac:dyDescent="0.2">
      <c r="A63" s="87">
        <f t="shared" si="0"/>
        <v>32</v>
      </c>
      <c r="B63" s="87">
        <v>2028</v>
      </c>
      <c r="C63" s="98">
        <v>0</v>
      </c>
      <c r="D63" s="100">
        <v>855.62</v>
      </c>
      <c r="E63" s="94">
        <f t="shared" si="4"/>
        <v>0.11687</v>
      </c>
      <c r="F63" s="95">
        <f t="shared" si="5"/>
        <v>0</v>
      </c>
      <c r="G63" s="101">
        <v>1</v>
      </c>
      <c r="H63" s="87">
        <f t="shared" si="3"/>
        <v>0</v>
      </c>
      <c r="I63" s="87">
        <f>1.67*(D63/100)*G63*'Rente Berechnung'!$E$10</f>
        <v>457.24332800000002</v>
      </c>
    </row>
    <row r="64" spans="1:9" x14ac:dyDescent="0.2">
      <c r="A64" s="87">
        <f t="shared" si="0"/>
        <v>32</v>
      </c>
      <c r="B64" s="87">
        <v>2029</v>
      </c>
      <c r="C64" s="98">
        <v>0</v>
      </c>
      <c r="D64" s="100">
        <v>855.62</v>
      </c>
      <c r="E64" s="94">
        <f t="shared" si="4"/>
        <v>0.11687</v>
      </c>
      <c r="F64" s="95">
        <f t="shared" si="5"/>
        <v>0</v>
      </c>
      <c r="G64" s="101">
        <v>1</v>
      </c>
      <c r="H64" s="87">
        <f t="shared" si="3"/>
        <v>0</v>
      </c>
      <c r="I64" s="87">
        <f>1.67*(D64/100)*G64*'Rente Berechnung'!$E$10</f>
        <v>457.24332800000002</v>
      </c>
    </row>
    <row r="65" spans="1:9" x14ac:dyDescent="0.2">
      <c r="A65" s="87">
        <f t="shared" si="0"/>
        <v>32</v>
      </c>
      <c r="B65" s="87">
        <v>2030</v>
      </c>
      <c r="C65" s="98">
        <v>0</v>
      </c>
      <c r="D65" s="100">
        <v>855.62</v>
      </c>
      <c r="E65" s="94">
        <f t="shared" si="4"/>
        <v>0.11687</v>
      </c>
      <c r="F65" s="95">
        <f t="shared" si="5"/>
        <v>0</v>
      </c>
      <c r="G65" s="101">
        <v>1</v>
      </c>
      <c r="H65" s="87">
        <f t="shared" si="3"/>
        <v>0</v>
      </c>
      <c r="I65" s="87">
        <f>1.67*(D65/100)*G65*'Rente Berechnung'!$E$10</f>
        <v>457.24332800000002</v>
      </c>
    </row>
    <row r="66" spans="1:9" x14ac:dyDescent="0.2">
      <c r="A66" s="87">
        <f t="shared" ref="A66:A83" si="6">IF(A65&gt;1,IF(C66&gt;=1,A65+1,A65),IF(C66&gt;=1,A65+1,A65))</f>
        <v>32</v>
      </c>
      <c r="B66" s="87">
        <v>2031</v>
      </c>
      <c r="C66" s="98">
        <v>0</v>
      </c>
      <c r="D66" s="100">
        <v>855.62</v>
      </c>
      <c r="E66" s="94">
        <f t="shared" si="4"/>
        <v>0.11687</v>
      </c>
      <c r="F66" s="95">
        <f>ROUND(C66*E66,2)</f>
        <v>0</v>
      </c>
      <c r="G66" s="101">
        <v>1</v>
      </c>
      <c r="H66" s="87">
        <f t="shared" si="3"/>
        <v>0</v>
      </c>
      <c r="I66" s="87">
        <f>1.67*(D66/100)*G66*'Rente Berechnung'!$E$10</f>
        <v>457.24332800000002</v>
      </c>
    </row>
    <row r="67" spans="1:9" x14ac:dyDescent="0.2">
      <c r="A67" s="87">
        <f t="shared" si="6"/>
        <v>32</v>
      </c>
      <c r="B67" s="87">
        <v>2032</v>
      </c>
      <c r="C67" s="93">
        <v>0</v>
      </c>
      <c r="D67" s="100">
        <v>855.62</v>
      </c>
      <c r="E67" s="94">
        <f t="shared" si="4"/>
        <v>0.11687</v>
      </c>
      <c r="F67" s="95">
        <f>ROUND(C67*E67,2)</f>
        <v>0</v>
      </c>
      <c r="G67" s="101">
        <v>1</v>
      </c>
      <c r="H67" s="87">
        <f>ROUNDDOWN(F67/G67,2)</f>
        <v>0</v>
      </c>
      <c r="I67" s="87">
        <f>1.67*(D67/100)*G67*'Rente Berechnung'!$E$10</f>
        <v>457.24332800000002</v>
      </c>
    </row>
    <row r="68" spans="1:9" x14ac:dyDescent="0.2">
      <c r="A68" s="87">
        <f t="shared" si="6"/>
        <v>32</v>
      </c>
      <c r="B68" s="87">
        <v>2033</v>
      </c>
      <c r="C68" s="93">
        <v>0</v>
      </c>
      <c r="D68" s="100">
        <v>855.62</v>
      </c>
      <c r="E68" s="94">
        <f t="shared" si="4"/>
        <v>0.11687</v>
      </c>
      <c r="F68" s="95">
        <f>ROUND(C68*E68,2)</f>
        <v>0</v>
      </c>
      <c r="G68" s="101">
        <v>1</v>
      </c>
      <c r="H68" s="87">
        <f>ROUNDDOWN(F68/G68,2)</f>
        <v>0</v>
      </c>
      <c r="I68" s="87">
        <f>1.67*(D68/100)*G68*'Rente Berechnung'!$E$10</f>
        <v>457.24332800000002</v>
      </c>
    </row>
    <row r="69" spans="1:9" x14ac:dyDescent="0.2">
      <c r="A69" s="87">
        <f t="shared" si="6"/>
        <v>32</v>
      </c>
      <c r="B69" s="87">
        <v>2034</v>
      </c>
      <c r="C69" s="93">
        <v>0</v>
      </c>
      <c r="D69" s="100">
        <v>855.62</v>
      </c>
      <c r="E69" s="94">
        <f t="shared" si="4"/>
        <v>0.11687</v>
      </c>
      <c r="F69" s="95">
        <f>ROUND(C69*E69,2)</f>
        <v>0</v>
      </c>
      <c r="G69" s="101">
        <v>1</v>
      </c>
      <c r="H69" s="87">
        <f>ROUNDDOWN(F69/G69,2)</f>
        <v>0</v>
      </c>
      <c r="I69" s="87">
        <f>1.67*(D69/100)*G69*'Rente Berechnung'!$E$10</f>
        <v>457.24332800000002</v>
      </c>
    </row>
    <row r="70" spans="1:9" x14ac:dyDescent="0.2">
      <c r="A70" s="87">
        <f t="shared" si="6"/>
        <v>32</v>
      </c>
      <c r="B70" s="87">
        <v>2035</v>
      </c>
      <c r="C70" s="93">
        <v>0</v>
      </c>
      <c r="D70" s="100">
        <v>855.62</v>
      </c>
      <c r="E70" s="94">
        <f t="shared" si="4"/>
        <v>0.11687</v>
      </c>
      <c r="F70" s="95">
        <f>ROUND(C70*E70,2)</f>
        <v>0</v>
      </c>
      <c r="G70" s="101">
        <v>1</v>
      </c>
      <c r="H70" s="87">
        <f>ROUNDDOWN(F70/G70,2)</f>
        <v>0</v>
      </c>
      <c r="I70" s="87">
        <f>1.67*(D70/100)*G70*'Rente Berechnung'!$E$10</f>
        <v>457.24332800000002</v>
      </c>
    </row>
    <row r="71" spans="1:9" x14ac:dyDescent="0.2">
      <c r="A71" s="87">
        <f t="shared" si="6"/>
        <v>32</v>
      </c>
      <c r="G71" s="96"/>
    </row>
    <row r="72" spans="1:9" x14ac:dyDescent="0.2">
      <c r="A72" s="87">
        <f t="shared" si="6"/>
        <v>32</v>
      </c>
      <c r="F72" s="95">
        <f>SUM(F30:F71)</f>
        <v>328455.39000000007</v>
      </c>
      <c r="G72" s="96"/>
      <c r="H72" s="88">
        <f>SUM(H12:H71)-15.1</f>
        <v>248505.77000000005</v>
      </c>
    </row>
    <row r="73" spans="1:9" x14ac:dyDescent="0.2">
      <c r="A73" s="87">
        <f t="shared" si="6"/>
        <v>32</v>
      </c>
      <c r="G73" s="96"/>
    </row>
    <row r="74" spans="1:9" ht="13.5" thickBot="1" x14ac:dyDescent="0.25">
      <c r="A74" s="87">
        <f t="shared" si="6"/>
        <v>32</v>
      </c>
      <c r="G74" s="96"/>
    </row>
    <row r="75" spans="1:9" x14ac:dyDescent="0.2">
      <c r="A75" s="87">
        <f t="shared" si="6"/>
        <v>33</v>
      </c>
      <c r="C75" s="160" t="s">
        <v>222</v>
      </c>
      <c r="D75" s="161"/>
      <c r="E75" s="161"/>
      <c r="F75" s="162"/>
      <c r="G75" s="96"/>
    </row>
    <row r="76" spans="1:9" x14ac:dyDescent="0.2">
      <c r="A76" s="87">
        <f t="shared" si="6"/>
        <v>33</v>
      </c>
      <c r="C76" s="163"/>
      <c r="D76" s="164"/>
      <c r="E76" s="164"/>
      <c r="F76" s="165"/>
      <c r="G76" s="96"/>
    </row>
    <row r="77" spans="1:9" x14ac:dyDescent="0.2">
      <c r="A77" s="87">
        <f t="shared" si="6"/>
        <v>33</v>
      </c>
      <c r="C77" s="163"/>
      <c r="D77" s="164"/>
      <c r="E77" s="164"/>
      <c r="F77" s="165"/>
      <c r="G77" s="96"/>
    </row>
    <row r="78" spans="1:9" x14ac:dyDescent="0.2">
      <c r="A78" s="87">
        <f t="shared" si="6"/>
        <v>33</v>
      </c>
      <c r="C78" s="163"/>
      <c r="D78" s="164"/>
      <c r="E78" s="164"/>
      <c r="F78" s="165"/>
      <c r="G78" s="96"/>
    </row>
    <row r="79" spans="1:9" x14ac:dyDescent="0.2">
      <c r="A79" s="87">
        <f t="shared" si="6"/>
        <v>33</v>
      </c>
      <c r="C79" s="163"/>
      <c r="D79" s="164"/>
      <c r="E79" s="164"/>
      <c r="F79" s="165"/>
      <c r="G79" s="96"/>
    </row>
    <row r="80" spans="1:9" ht="13.5" thickBot="1" x14ac:dyDescent="0.25">
      <c r="A80" s="87">
        <f t="shared" si="6"/>
        <v>33</v>
      </c>
      <c r="C80" s="166"/>
      <c r="D80" s="167"/>
      <c r="E80" s="167"/>
      <c r="F80" s="168"/>
      <c r="G80" s="96"/>
    </row>
    <row r="81" spans="1:7" x14ac:dyDescent="0.2">
      <c r="A81" s="87">
        <f t="shared" si="6"/>
        <v>33</v>
      </c>
      <c r="G81" s="96"/>
    </row>
    <row r="82" spans="1:7" x14ac:dyDescent="0.2">
      <c r="A82" s="87">
        <f t="shared" si="6"/>
        <v>33</v>
      </c>
      <c r="G82" s="96"/>
    </row>
    <row r="83" spans="1:7" x14ac:dyDescent="0.2">
      <c r="A83" s="87">
        <f t="shared" si="6"/>
        <v>33</v>
      </c>
      <c r="G83" s="96"/>
    </row>
    <row r="84" spans="1:7" x14ac:dyDescent="0.2">
      <c r="G84" s="96"/>
    </row>
    <row r="85" spans="1:7" x14ac:dyDescent="0.2">
      <c r="G85" s="96"/>
    </row>
    <row r="86" spans="1:7" x14ac:dyDescent="0.2">
      <c r="G86" s="96"/>
    </row>
    <row r="87" spans="1:7" x14ac:dyDescent="0.2">
      <c r="G87" s="96"/>
    </row>
    <row r="88" spans="1:7" x14ac:dyDescent="0.2">
      <c r="G88" s="96"/>
    </row>
    <row r="89" spans="1:7" x14ac:dyDescent="0.2">
      <c r="G89" s="96"/>
    </row>
    <row r="90" spans="1:7" x14ac:dyDescent="0.2">
      <c r="G90" s="96"/>
    </row>
    <row r="91" spans="1:7" x14ac:dyDescent="0.2">
      <c r="G91" s="96"/>
    </row>
    <row r="92" spans="1:7" x14ac:dyDescent="0.2">
      <c r="G92" s="96"/>
    </row>
    <row r="93" spans="1:7" x14ac:dyDescent="0.2">
      <c r="G93" s="96"/>
    </row>
  </sheetData>
  <mergeCells count="1">
    <mergeCell ref="C75:F80"/>
  </mergeCells>
  <hyperlinks>
    <hyperlink ref="D1" r:id="rId1" xr:uid="{6239A44E-D96F-4630-BF6E-1E438809D97B}"/>
    <hyperlink ref="G1" r:id="rId2" xr:uid="{B923D121-AA4A-4576-A9A0-F11D2C824CBE}"/>
    <hyperlink ref="I1" r:id="rId3" xr:uid="{B7266303-204A-40EC-92C1-EA1E3F08BE63}"/>
    <hyperlink ref="C75:F80" location="'Rente Berechnung'!A1" display="Zur Rentenberechnung" xr:uid="{CFA801FC-EFDB-442D-A6A2-6A6FFBF1CF1B}"/>
  </hyperlinks>
  <pageMargins left="0.7" right="0.7" top="0.78740157499999996" bottom="0.78740157499999996" header="0.3" footer="0.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6B68D-D6E0-48A1-8835-D2A501D4A052}">
  <dimension ref="A1:AQ117"/>
  <sheetViews>
    <sheetView tabSelected="1" workbookViewId="0">
      <selection activeCell="H12" sqref="H12"/>
    </sheetView>
  </sheetViews>
  <sheetFormatPr baseColWidth="10" defaultColWidth="9.140625" defaultRowHeight="12" x14ac:dyDescent="0.2"/>
  <cols>
    <col min="1" max="1" width="9.140625" style="103"/>
    <col min="2" max="2" width="40.140625" style="105" customWidth="1"/>
    <col min="3" max="4" width="10.7109375" style="105" customWidth="1"/>
    <col min="5" max="5" width="11.42578125" style="105" customWidth="1"/>
    <col min="6" max="6" width="18.7109375" style="142" customWidth="1"/>
    <col min="7" max="7" width="9.140625" style="103"/>
    <col min="8" max="8" width="18.85546875" style="103" customWidth="1"/>
    <col min="9" max="9" width="9.140625" style="103"/>
    <col min="10" max="10" width="6.5703125" style="103" customWidth="1"/>
    <col min="11" max="11" width="10.28515625" style="103" customWidth="1"/>
    <col min="12" max="12" width="7.28515625" style="103" customWidth="1"/>
    <col min="13" max="13" width="12.28515625" style="103" customWidth="1"/>
    <col min="14" max="43" width="9.140625" style="103"/>
    <col min="44" max="257" width="9.140625" style="105"/>
    <col min="258" max="258" width="40.140625" style="105" customWidth="1"/>
    <col min="259" max="260" width="10.7109375" style="105" customWidth="1"/>
    <col min="261" max="261" width="11.42578125" style="105" customWidth="1"/>
    <col min="262" max="262" width="18.7109375" style="105" customWidth="1"/>
    <col min="263" max="263" width="9.140625" style="105"/>
    <col min="264" max="264" width="18.85546875" style="105" customWidth="1"/>
    <col min="265" max="265" width="9.140625" style="105"/>
    <col min="266" max="266" width="6.5703125" style="105" customWidth="1"/>
    <col min="267" max="267" width="10.28515625" style="105" customWidth="1"/>
    <col min="268" max="268" width="7.28515625" style="105" customWidth="1"/>
    <col min="269" max="269" width="12.28515625" style="105" customWidth="1"/>
    <col min="270" max="513" width="9.140625" style="105"/>
    <col min="514" max="514" width="40.140625" style="105" customWidth="1"/>
    <col min="515" max="516" width="10.7109375" style="105" customWidth="1"/>
    <col min="517" max="517" width="11.42578125" style="105" customWidth="1"/>
    <col min="518" max="518" width="18.7109375" style="105" customWidth="1"/>
    <col min="519" max="519" width="9.140625" style="105"/>
    <col min="520" max="520" width="18.85546875" style="105" customWidth="1"/>
    <col min="521" max="521" width="9.140625" style="105"/>
    <col min="522" max="522" width="6.5703125" style="105" customWidth="1"/>
    <col min="523" max="523" width="10.28515625" style="105" customWidth="1"/>
    <col min="524" max="524" width="7.28515625" style="105" customWidth="1"/>
    <col min="525" max="525" width="12.28515625" style="105" customWidth="1"/>
    <col min="526" max="769" width="9.140625" style="105"/>
    <col min="770" max="770" width="40.140625" style="105" customWidth="1"/>
    <col min="771" max="772" width="10.7109375" style="105" customWidth="1"/>
    <col min="773" max="773" width="11.42578125" style="105" customWidth="1"/>
    <col min="774" max="774" width="18.7109375" style="105" customWidth="1"/>
    <col min="775" max="775" width="9.140625" style="105"/>
    <col min="776" max="776" width="18.85546875" style="105" customWidth="1"/>
    <col min="777" max="777" width="9.140625" style="105"/>
    <col min="778" max="778" width="6.5703125" style="105" customWidth="1"/>
    <col min="779" max="779" width="10.28515625" style="105" customWidth="1"/>
    <col min="780" max="780" width="7.28515625" style="105" customWidth="1"/>
    <col min="781" max="781" width="12.28515625" style="105" customWidth="1"/>
    <col min="782" max="1025" width="9.140625" style="105"/>
    <col min="1026" max="1026" width="40.140625" style="105" customWidth="1"/>
    <col min="1027" max="1028" width="10.7109375" style="105" customWidth="1"/>
    <col min="1029" max="1029" width="11.42578125" style="105" customWidth="1"/>
    <col min="1030" max="1030" width="18.7109375" style="105" customWidth="1"/>
    <col min="1031" max="1031" width="9.140625" style="105"/>
    <col min="1032" max="1032" width="18.85546875" style="105" customWidth="1"/>
    <col min="1033" max="1033" width="9.140625" style="105"/>
    <col min="1034" max="1034" width="6.5703125" style="105" customWidth="1"/>
    <col min="1035" max="1035" width="10.28515625" style="105" customWidth="1"/>
    <col min="1036" max="1036" width="7.28515625" style="105" customWidth="1"/>
    <col min="1037" max="1037" width="12.28515625" style="105" customWidth="1"/>
    <col min="1038" max="1281" width="9.140625" style="105"/>
    <col min="1282" max="1282" width="40.140625" style="105" customWidth="1"/>
    <col min="1283" max="1284" width="10.7109375" style="105" customWidth="1"/>
    <col min="1285" max="1285" width="11.42578125" style="105" customWidth="1"/>
    <col min="1286" max="1286" width="18.7109375" style="105" customWidth="1"/>
    <col min="1287" max="1287" width="9.140625" style="105"/>
    <col min="1288" max="1288" width="18.85546875" style="105" customWidth="1"/>
    <col min="1289" max="1289" width="9.140625" style="105"/>
    <col min="1290" max="1290" width="6.5703125" style="105" customWidth="1"/>
    <col min="1291" max="1291" width="10.28515625" style="105" customWidth="1"/>
    <col min="1292" max="1292" width="7.28515625" style="105" customWidth="1"/>
    <col min="1293" max="1293" width="12.28515625" style="105" customWidth="1"/>
    <col min="1294" max="1537" width="9.140625" style="105"/>
    <col min="1538" max="1538" width="40.140625" style="105" customWidth="1"/>
    <col min="1539" max="1540" width="10.7109375" style="105" customWidth="1"/>
    <col min="1541" max="1541" width="11.42578125" style="105" customWidth="1"/>
    <col min="1542" max="1542" width="18.7109375" style="105" customWidth="1"/>
    <col min="1543" max="1543" width="9.140625" style="105"/>
    <col min="1544" max="1544" width="18.85546875" style="105" customWidth="1"/>
    <col min="1545" max="1545" width="9.140625" style="105"/>
    <col min="1546" max="1546" width="6.5703125" style="105" customWidth="1"/>
    <col min="1547" max="1547" width="10.28515625" style="105" customWidth="1"/>
    <col min="1548" max="1548" width="7.28515625" style="105" customWidth="1"/>
    <col min="1549" max="1549" width="12.28515625" style="105" customWidth="1"/>
    <col min="1550" max="1793" width="9.140625" style="105"/>
    <col min="1794" max="1794" width="40.140625" style="105" customWidth="1"/>
    <col min="1795" max="1796" width="10.7109375" style="105" customWidth="1"/>
    <col min="1797" max="1797" width="11.42578125" style="105" customWidth="1"/>
    <col min="1798" max="1798" width="18.7109375" style="105" customWidth="1"/>
    <col min="1799" max="1799" width="9.140625" style="105"/>
    <col min="1800" max="1800" width="18.85546875" style="105" customWidth="1"/>
    <col min="1801" max="1801" width="9.140625" style="105"/>
    <col min="1802" max="1802" width="6.5703125" style="105" customWidth="1"/>
    <col min="1803" max="1803" width="10.28515625" style="105" customWidth="1"/>
    <col min="1804" max="1804" width="7.28515625" style="105" customWidth="1"/>
    <col min="1805" max="1805" width="12.28515625" style="105" customWidth="1"/>
    <col min="1806" max="2049" width="9.140625" style="105"/>
    <col min="2050" max="2050" width="40.140625" style="105" customWidth="1"/>
    <col min="2051" max="2052" width="10.7109375" style="105" customWidth="1"/>
    <col min="2053" max="2053" width="11.42578125" style="105" customWidth="1"/>
    <col min="2054" max="2054" width="18.7109375" style="105" customWidth="1"/>
    <col min="2055" max="2055" width="9.140625" style="105"/>
    <col min="2056" max="2056" width="18.85546875" style="105" customWidth="1"/>
    <col min="2057" max="2057" width="9.140625" style="105"/>
    <col min="2058" max="2058" width="6.5703125" style="105" customWidth="1"/>
    <col min="2059" max="2059" width="10.28515625" style="105" customWidth="1"/>
    <col min="2060" max="2060" width="7.28515625" style="105" customWidth="1"/>
    <col min="2061" max="2061" width="12.28515625" style="105" customWidth="1"/>
    <col min="2062" max="2305" width="9.140625" style="105"/>
    <col min="2306" max="2306" width="40.140625" style="105" customWidth="1"/>
    <col min="2307" max="2308" width="10.7109375" style="105" customWidth="1"/>
    <col min="2309" max="2309" width="11.42578125" style="105" customWidth="1"/>
    <col min="2310" max="2310" width="18.7109375" style="105" customWidth="1"/>
    <col min="2311" max="2311" width="9.140625" style="105"/>
    <col min="2312" max="2312" width="18.85546875" style="105" customWidth="1"/>
    <col min="2313" max="2313" width="9.140625" style="105"/>
    <col min="2314" max="2314" width="6.5703125" style="105" customWidth="1"/>
    <col min="2315" max="2315" width="10.28515625" style="105" customWidth="1"/>
    <col min="2316" max="2316" width="7.28515625" style="105" customWidth="1"/>
    <col min="2317" max="2317" width="12.28515625" style="105" customWidth="1"/>
    <col min="2318" max="2561" width="9.140625" style="105"/>
    <col min="2562" max="2562" width="40.140625" style="105" customWidth="1"/>
    <col min="2563" max="2564" width="10.7109375" style="105" customWidth="1"/>
    <col min="2565" max="2565" width="11.42578125" style="105" customWidth="1"/>
    <col min="2566" max="2566" width="18.7109375" style="105" customWidth="1"/>
    <col min="2567" max="2567" width="9.140625" style="105"/>
    <col min="2568" max="2568" width="18.85546875" style="105" customWidth="1"/>
    <col min="2569" max="2569" width="9.140625" style="105"/>
    <col min="2570" max="2570" width="6.5703125" style="105" customWidth="1"/>
    <col min="2571" max="2571" width="10.28515625" style="105" customWidth="1"/>
    <col min="2572" max="2572" width="7.28515625" style="105" customWidth="1"/>
    <col min="2573" max="2573" width="12.28515625" style="105" customWidth="1"/>
    <col min="2574" max="2817" width="9.140625" style="105"/>
    <col min="2818" max="2818" width="40.140625" style="105" customWidth="1"/>
    <col min="2819" max="2820" width="10.7109375" style="105" customWidth="1"/>
    <col min="2821" max="2821" width="11.42578125" style="105" customWidth="1"/>
    <col min="2822" max="2822" width="18.7109375" style="105" customWidth="1"/>
    <col min="2823" max="2823" width="9.140625" style="105"/>
    <col min="2824" max="2824" width="18.85546875" style="105" customWidth="1"/>
    <col min="2825" max="2825" width="9.140625" style="105"/>
    <col min="2826" max="2826" width="6.5703125" style="105" customWidth="1"/>
    <col min="2827" max="2827" width="10.28515625" style="105" customWidth="1"/>
    <col min="2828" max="2828" width="7.28515625" style="105" customWidth="1"/>
    <col min="2829" max="2829" width="12.28515625" style="105" customWidth="1"/>
    <col min="2830" max="3073" width="9.140625" style="105"/>
    <col min="3074" max="3074" width="40.140625" style="105" customWidth="1"/>
    <col min="3075" max="3076" width="10.7109375" style="105" customWidth="1"/>
    <col min="3077" max="3077" width="11.42578125" style="105" customWidth="1"/>
    <col min="3078" max="3078" width="18.7109375" style="105" customWidth="1"/>
    <col min="3079" max="3079" width="9.140625" style="105"/>
    <col min="3080" max="3080" width="18.85546875" style="105" customWidth="1"/>
    <col min="3081" max="3081" width="9.140625" style="105"/>
    <col min="3082" max="3082" width="6.5703125" style="105" customWidth="1"/>
    <col min="3083" max="3083" width="10.28515625" style="105" customWidth="1"/>
    <col min="3084" max="3084" width="7.28515625" style="105" customWidth="1"/>
    <col min="3085" max="3085" width="12.28515625" style="105" customWidth="1"/>
    <col min="3086" max="3329" width="9.140625" style="105"/>
    <col min="3330" max="3330" width="40.140625" style="105" customWidth="1"/>
    <col min="3331" max="3332" width="10.7109375" style="105" customWidth="1"/>
    <col min="3333" max="3333" width="11.42578125" style="105" customWidth="1"/>
    <col min="3334" max="3334" width="18.7109375" style="105" customWidth="1"/>
    <col min="3335" max="3335" width="9.140625" style="105"/>
    <col min="3336" max="3336" width="18.85546875" style="105" customWidth="1"/>
    <col min="3337" max="3337" width="9.140625" style="105"/>
    <col min="3338" max="3338" width="6.5703125" style="105" customWidth="1"/>
    <col min="3339" max="3339" width="10.28515625" style="105" customWidth="1"/>
    <col min="3340" max="3340" width="7.28515625" style="105" customWidth="1"/>
    <col min="3341" max="3341" width="12.28515625" style="105" customWidth="1"/>
    <col min="3342" max="3585" width="9.140625" style="105"/>
    <col min="3586" max="3586" width="40.140625" style="105" customWidth="1"/>
    <col min="3587" max="3588" width="10.7109375" style="105" customWidth="1"/>
    <col min="3589" max="3589" width="11.42578125" style="105" customWidth="1"/>
    <col min="3590" max="3590" width="18.7109375" style="105" customWidth="1"/>
    <col min="3591" max="3591" width="9.140625" style="105"/>
    <col min="3592" max="3592" width="18.85546875" style="105" customWidth="1"/>
    <col min="3593" max="3593" width="9.140625" style="105"/>
    <col min="3594" max="3594" width="6.5703125" style="105" customWidth="1"/>
    <col min="3595" max="3595" width="10.28515625" style="105" customWidth="1"/>
    <col min="3596" max="3596" width="7.28515625" style="105" customWidth="1"/>
    <col min="3597" max="3597" width="12.28515625" style="105" customWidth="1"/>
    <col min="3598" max="3841" width="9.140625" style="105"/>
    <col min="3842" max="3842" width="40.140625" style="105" customWidth="1"/>
    <col min="3843" max="3844" width="10.7109375" style="105" customWidth="1"/>
    <col min="3845" max="3845" width="11.42578125" style="105" customWidth="1"/>
    <col min="3846" max="3846" width="18.7109375" style="105" customWidth="1"/>
    <col min="3847" max="3847" width="9.140625" style="105"/>
    <col min="3848" max="3848" width="18.85546875" style="105" customWidth="1"/>
    <col min="3849" max="3849" width="9.140625" style="105"/>
    <col min="3850" max="3850" width="6.5703125" style="105" customWidth="1"/>
    <col min="3851" max="3851" width="10.28515625" style="105" customWidth="1"/>
    <col min="3852" max="3852" width="7.28515625" style="105" customWidth="1"/>
    <col min="3853" max="3853" width="12.28515625" style="105" customWidth="1"/>
    <col min="3854" max="4097" width="9.140625" style="105"/>
    <col min="4098" max="4098" width="40.140625" style="105" customWidth="1"/>
    <col min="4099" max="4100" width="10.7109375" style="105" customWidth="1"/>
    <col min="4101" max="4101" width="11.42578125" style="105" customWidth="1"/>
    <col min="4102" max="4102" width="18.7109375" style="105" customWidth="1"/>
    <col min="4103" max="4103" width="9.140625" style="105"/>
    <col min="4104" max="4104" width="18.85546875" style="105" customWidth="1"/>
    <col min="4105" max="4105" width="9.140625" style="105"/>
    <col min="4106" max="4106" width="6.5703125" style="105" customWidth="1"/>
    <col min="4107" max="4107" width="10.28515625" style="105" customWidth="1"/>
    <col min="4108" max="4108" width="7.28515625" style="105" customWidth="1"/>
    <col min="4109" max="4109" width="12.28515625" style="105" customWidth="1"/>
    <col min="4110" max="4353" width="9.140625" style="105"/>
    <col min="4354" max="4354" width="40.140625" style="105" customWidth="1"/>
    <col min="4355" max="4356" width="10.7109375" style="105" customWidth="1"/>
    <col min="4357" max="4357" width="11.42578125" style="105" customWidth="1"/>
    <col min="4358" max="4358" width="18.7109375" style="105" customWidth="1"/>
    <col min="4359" max="4359" width="9.140625" style="105"/>
    <col min="4360" max="4360" width="18.85546875" style="105" customWidth="1"/>
    <col min="4361" max="4361" width="9.140625" style="105"/>
    <col min="4362" max="4362" width="6.5703125" style="105" customWidth="1"/>
    <col min="4363" max="4363" width="10.28515625" style="105" customWidth="1"/>
    <col min="4364" max="4364" width="7.28515625" style="105" customWidth="1"/>
    <col min="4365" max="4365" width="12.28515625" style="105" customWidth="1"/>
    <col min="4366" max="4609" width="9.140625" style="105"/>
    <col min="4610" max="4610" width="40.140625" style="105" customWidth="1"/>
    <col min="4611" max="4612" width="10.7109375" style="105" customWidth="1"/>
    <col min="4613" max="4613" width="11.42578125" style="105" customWidth="1"/>
    <col min="4614" max="4614" width="18.7109375" style="105" customWidth="1"/>
    <col min="4615" max="4615" width="9.140625" style="105"/>
    <col min="4616" max="4616" width="18.85546875" style="105" customWidth="1"/>
    <col min="4617" max="4617" width="9.140625" style="105"/>
    <col min="4618" max="4618" width="6.5703125" style="105" customWidth="1"/>
    <col min="4619" max="4619" width="10.28515625" style="105" customWidth="1"/>
    <col min="4620" max="4620" width="7.28515625" style="105" customWidth="1"/>
    <col min="4621" max="4621" width="12.28515625" style="105" customWidth="1"/>
    <col min="4622" max="4865" width="9.140625" style="105"/>
    <col min="4866" max="4866" width="40.140625" style="105" customWidth="1"/>
    <col min="4867" max="4868" width="10.7109375" style="105" customWidth="1"/>
    <col min="4869" max="4869" width="11.42578125" style="105" customWidth="1"/>
    <col min="4870" max="4870" width="18.7109375" style="105" customWidth="1"/>
    <col min="4871" max="4871" width="9.140625" style="105"/>
    <col min="4872" max="4872" width="18.85546875" style="105" customWidth="1"/>
    <col min="4873" max="4873" width="9.140625" style="105"/>
    <col min="4874" max="4874" width="6.5703125" style="105" customWidth="1"/>
    <col min="4875" max="4875" width="10.28515625" style="105" customWidth="1"/>
    <col min="4876" max="4876" width="7.28515625" style="105" customWidth="1"/>
    <col min="4877" max="4877" width="12.28515625" style="105" customWidth="1"/>
    <col min="4878" max="5121" width="9.140625" style="105"/>
    <col min="5122" max="5122" width="40.140625" style="105" customWidth="1"/>
    <col min="5123" max="5124" width="10.7109375" style="105" customWidth="1"/>
    <col min="5125" max="5125" width="11.42578125" style="105" customWidth="1"/>
    <col min="5126" max="5126" width="18.7109375" style="105" customWidth="1"/>
    <col min="5127" max="5127" width="9.140625" style="105"/>
    <col min="5128" max="5128" width="18.85546875" style="105" customWidth="1"/>
    <col min="5129" max="5129" width="9.140625" style="105"/>
    <col min="5130" max="5130" width="6.5703125" style="105" customWidth="1"/>
    <col min="5131" max="5131" width="10.28515625" style="105" customWidth="1"/>
    <col min="5132" max="5132" width="7.28515625" style="105" customWidth="1"/>
    <col min="5133" max="5133" width="12.28515625" style="105" customWidth="1"/>
    <col min="5134" max="5377" width="9.140625" style="105"/>
    <col min="5378" max="5378" width="40.140625" style="105" customWidth="1"/>
    <col min="5379" max="5380" width="10.7109375" style="105" customWidth="1"/>
    <col min="5381" max="5381" width="11.42578125" style="105" customWidth="1"/>
    <col min="5382" max="5382" width="18.7109375" style="105" customWidth="1"/>
    <col min="5383" max="5383" width="9.140625" style="105"/>
    <col min="5384" max="5384" width="18.85546875" style="105" customWidth="1"/>
    <col min="5385" max="5385" width="9.140625" style="105"/>
    <col min="5386" max="5386" width="6.5703125" style="105" customWidth="1"/>
    <col min="5387" max="5387" width="10.28515625" style="105" customWidth="1"/>
    <col min="5388" max="5388" width="7.28515625" style="105" customWidth="1"/>
    <col min="5389" max="5389" width="12.28515625" style="105" customWidth="1"/>
    <col min="5390" max="5633" width="9.140625" style="105"/>
    <col min="5634" max="5634" width="40.140625" style="105" customWidth="1"/>
    <col min="5635" max="5636" width="10.7109375" style="105" customWidth="1"/>
    <col min="5637" max="5637" width="11.42578125" style="105" customWidth="1"/>
    <col min="5638" max="5638" width="18.7109375" style="105" customWidth="1"/>
    <col min="5639" max="5639" width="9.140625" style="105"/>
    <col min="5640" max="5640" width="18.85546875" style="105" customWidth="1"/>
    <col min="5641" max="5641" width="9.140625" style="105"/>
    <col min="5642" max="5642" width="6.5703125" style="105" customWidth="1"/>
    <col min="5643" max="5643" width="10.28515625" style="105" customWidth="1"/>
    <col min="5644" max="5644" width="7.28515625" style="105" customWidth="1"/>
    <col min="5645" max="5645" width="12.28515625" style="105" customWidth="1"/>
    <col min="5646" max="5889" width="9.140625" style="105"/>
    <col min="5890" max="5890" width="40.140625" style="105" customWidth="1"/>
    <col min="5891" max="5892" width="10.7109375" style="105" customWidth="1"/>
    <col min="5893" max="5893" width="11.42578125" style="105" customWidth="1"/>
    <col min="5894" max="5894" width="18.7109375" style="105" customWidth="1"/>
    <col min="5895" max="5895" width="9.140625" style="105"/>
    <col min="5896" max="5896" width="18.85546875" style="105" customWidth="1"/>
    <col min="5897" max="5897" width="9.140625" style="105"/>
    <col min="5898" max="5898" width="6.5703125" style="105" customWidth="1"/>
    <col min="5899" max="5899" width="10.28515625" style="105" customWidth="1"/>
    <col min="5900" max="5900" width="7.28515625" style="105" customWidth="1"/>
    <col min="5901" max="5901" width="12.28515625" style="105" customWidth="1"/>
    <col min="5902" max="6145" width="9.140625" style="105"/>
    <col min="6146" max="6146" width="40.140625" style="105" customWidth="1"/>
    <col min="6147" max="6148" width="10.7109375" style="105" customWidth="1"/>
    <col min="6149" max="6149" width="11.42578125" style="105" customWidth="1"/>
    <col min="6150" max="6150" width="18.7109375" style="105" customWidth="1"/>
    <col min="6151" max="6151" width="9.140625" style="105"/>
    <col min="6152" max="6152" width="18.85546875" style="105" customWidth="1"/>
    <col min="6153" max="6153" width="9.140625" style="105"/>
    <col min="6154" max="6154" width="6.5703125" style="105" customWidth="1"/>
    <col min="6155" max="6155" width="10.28515625" style="105" customWidth="1"/>
    <col min="6156" max="6156" width="7.28515625" style="105" customWidth="1"/>
    <col min="6157" max="6157" width="12.28515625" style="105" customWidth="1"/>
    <col min="6158" max="6401" width="9.140625" style="105"/>
    <col min="6402" max="6402" width="40.140625" style="105" customWidth="1"/>
    <col min="6403" max="6404" width="10.7109375" style="105" customWidth="1"/>
    <col min="6405" max="6405" width="11.42578125" style="105" customWidth="1"/>
    <col min="6406" max="6406" width="18.7109375" style="105" customWidth="1"/>
    <col min="6407" max="6407" width="9.140625" style="105"/>
    <col min="6408" max="6408" width="18.85546875" style="105" customWidth="1"/>
    <col min="6409" max="6409" width="9.140625" style="105"/>
    <col min="6410" max="6410" width="6.5703125" style="105" customWidth="1"/>
    <col min="6411" max="6411" width="10.28515625" style="105" customWidth="1"/>
    <col min="6412" max="6412" width="7.28515625" style="105" customWidth="1"/>
    <col min="6413" max="6413" width="12.28515625" style="105" customWidth="1"/>
    <col min="6414" max="6657" width="9.140625" style="105"/>
    <col min="6658" max="6658" width="40.140625" style="105" customWidth="1"/>
    <col min="6659" max="6660" width="10.7109375" style="105" customWidth="1"/>
    <col min="6661" max="6661" width="11.42578125" style="105" customWidth="1"/>
    <col min="6662" max="6662" width="18.7109375" style="105" customWidth="1"/>
    <col min="6663" max="6663" width="9.140625" style="105"/>
    <col min="6664" max="6664" width="18.85546875" style="105" customWidth="1"/>
    <col min="6665" max="6665" width="9.140625" style="105"/>
    <col min="6666" max="6666" width="6.5703125" style="105" customWidth="1"/>
    <col min="6667" max="6667" width="10.28515625" style="105" customWidth="1"/>
    <col min="6668" max="6668" width="7.28515625" style="105" customWidth="1"/>
    <col min="6669" max="6669" width="12.28515625" style="105" customWidth="1"/>
    <col min="6670" max="6913" width="9.140625" style="105"/>
    <col min="6914" max="6914" width="40.140625" style="105" customWidth="1"/>
    <col min="6915" max="6916" width="10.7109375" style="105" customWidth="1"/>
    <col min="6917" max="6917" width="11.42578125" style="105" customWidth="1"/>
    <col min="6918" max="6918" width="18.7109375" style="105" customWidth="1"/>
    <col min="6919" max="6919" width="9.140625" style="105"/>
    <col min="6920" max="6920" width="18.85546875" style="105" customWidth="1"/>
    <col min="6921" max="6921" width="9.140625" style="105"/>
    <col min="6922" max="6922" width="6.5703125" style="105" customWidth="1"/>
    <col min="6923" max="6923" width="10.28515625" style="105" customWidth="1"/>
    <col min="6924" max="6924" width="7.28515625" style="105" customWidth="1"/>
    <col min="6925" max="6925" width="12.28515625" style="105" customWidth="1"/>
    <col min="6926" max="7169" width="9.140625" style="105"/>
    <col min="7170" max="7170" width="40.140625" style="105" customWidth="1"/>
    <col min="7171" max="7172" width="10.7109375" style="105" customWidth="1"/>
    <col min="7173" max="7173" width="11.42578125" style="105" customWidth="1"/>
    <col min="7174" max="7174" width="18.7109375" style="105" customWidth="1"/>
    <col min="7175" max="7175" width="9.140625" style="105"/>
    <col min="7176" max="7176" width="18.85546875" style="105" customWidth="1"/>
    <col min="7177" max="7177" width="9.140625" style="105"/>
    <col min="7178" max="7178" width="6.5703125" style="105" customWidth="1"/>
    <col min="7179" max="7179" width="10.28515625" style="105" customWidth="1"/>
    <col min="7180" max="7180" width="7.28515625" style="105" customWidth="1"/>
    <col min="7181" max="7181" width="12.28515625" style="105" customWidth="1"/>
    <col min="7182" max="7425" width="9.140625" style="105"/>
    <col min="7426" max="7426" width="40.140625" style="105" customWidth="1"/>
    <col min="7427" max="7428" width="10.7109375" style="105" customWidth="1"/>
    <col min="7429" max="7429" width="11.42578125" style="105" customWidth="1"/>
    <col min="7430" max="7430" width="18.7109375" style="105" customWidth="1"/>
    <col min="7431" max="7431" width="9.140625" style="105"/>
    <col min="7432" max="7432" width="18.85546875" style="105" customWidth="1"/>
    <col min="7433" max="7433" width="9.140625" style="105"/>
    <col min="7434" max="7434" width="6.5703125" style="105" customWidth="1"/>
    <col min="7435" max="7435" width="10.28515625" style="105" customWidth="1"/>
    <col min="7436" max="7436" width="7.28515625" style="105" customWidth="1"/>
    <col min="7437" max="7437" width="12.28515625" style="105" customWidth="1"/>
    <col min="7438" max="7681" width="9.140625" style="105"/>
    <col min="7682" max="7682" width="40.140625" style="105" customWidth="1"/>
    <col min="7683" max="7684" width="10.7109375" style="105" customWidth="1"/>
    <col min="7685" max="7685" width="11.42578125" style="105" customWidth="1"/>
    <col min="7686" max="7686" width="18.7109375" style="105" customWidth="1"/>
    <col min="7687" max="7687" width="9.140625" style="105"/>
    <col min="7688" max="7688" width="18.85546875" style="105" customWidth="1"/>
    <col min="7689" max="7689" width="9.140625" style="105"/>
    <col min="7690" max="7690" width="6.5703125" style="105" customWidth="1"/>
    <col min="7691" max="7691" width="10.28515625" style="105" customWidth="1"/>
    <col min="7692" max="7692" width="7.28515625" style="105" customWidth="1"/>
    <col min="7693" max="7693" width="12.28515625" style="105" customWidth="1"/>
    <col min="7694" max="7937" width="9.140625" style="105"/>
    <col min="7938" max="7938" width="40.140625" style="105" customWidth="1"/>
    <col min="7939" max="7940" width="10.7109375" style="105" customWidth="1"/>
    <col min="7941" max="7941" width="11.42578125" style="105" customWidth="1"/>
    <col min="7942" max="7942" width="18.7109375" style="105" customWidth="1"/>
    <col min="7943" max="7943" width="9.140625" style="105"/>
    <col min="7944" max="7944" width="18.85546875" style="105" customWidth="1"/>
    <col min="7945" max="7945" width="9.140625" style="105"/>
    <col min="7946" max="7946" width="6.5703125" style="105" customWidth="1"/>
    <col min="7947" max="7947" width="10.28515625" style="105" customWidth="1"/>
    <col min="7948" max="7948" width="7.28515625" style="105" customWidth="1"/>
    <col min="7949" max="7949" width="12.28515625" style="105" customWidth="1"/>
    <col min="7950" max="8193" width="9.140625" style="105"/>
    <col min="8194" max="8194" width="40.140625" style="105" customWidth="1"/>
    <col min="8195" max="8196" width="10.7109375" style="105" customWidth="1"/>
    <col min="8197" max="8197" width="11.42578125" style="105" customWidth="1"/>
    <col min="8198" max="8198" width="18.7109375" style="105" customWidth="1"/>
    <col min="8199" max="8199" width="9.140625" style="105"/>
    <col min="8200" max="8200" width="18.85546875" style="105" customWidth="1"/>
    <col min="8201" max="8201" width="9.140625" style="105"/>
    <col min="8202" max="8202" width="6.5703125" style="105" customWidth="1"/>
    <col min="8203" max="8203" width="10.28515625" style="105" customWidth="1"/>
    <col min="8204" max="8204" width="7.28515625" style="105" customWidth="1"/>
    <col min="8205" max="8205" width="12.28515625" style="105" customWidth="1"/>
    <col min="8206" max="8449" width="9.140625" style="105"/>
    <col min="8450" max="8450" width="40.140625" style="105" customWidth="1"/>
    <col min="8451" max="8452" width="10.7109375" style="105" customWidth="1"/>
    <col min="8453" max="8453" width="11.42578125" style="105" customWidth="1"/>
    <col min="8454" max="8454" width="18.7109375" style="105" customWidth="1"/>
    <col min="8455" max="8455" width="9.140625" style="105"/>
    <col min="8456" max="8456" width="18.85546875" style="105" customWidth="1"/>
    <col min="8457" max="8457" width="9.140625" style="105"/>
    <col min="8458" max="8458" width="6.5703125" style="105" customWidth="1"/>
    <col min="8459" max="8459" width="10.28515625" style="105" customWidth="1"/>
    <col min="8460" max="8460" width="7.28515625" style="105" customWidth="1"/>
    <col min="8461" max="8461" width="12.28515625" style="105" customWidth="1"/>
    <col min="8462" max="8705" width="9.140625" style="105"/>
    <col min="8706" max="8706" width="40.140625" style="105" customWidth="1"/>
    <col min="8707" max="8708" width="10.7109375" style="105" customWidth="1"/>
    <col min="8709" max="8709" width="11.42578125" style="105" customWidth="1"/>
    <col min="8710" max="8710" width="18.7109375" style="105" customWidth="1"/>
    <col min="8711" max="8711" width="9.140625" style="105"/>
    <col min="8712" max="8712" width="18.85546875" style="105" customWidth="1"/>
    <col min="8713" max="8713" width="9.140625" style="105"/>
    <col min="8714" max="8714" width="6.5703125" style="105" customWidth="1"/>
    <col min="8715" max="8715" width="10.28515625" style="105" customWidth="1"/>
    <col min="8716" max="8716" width="7.28515625" style="105" customWidth="1"/>
    <col min="8717" max="8717" width="12.28515625" style="105" customWidth="1"/>
    <col min="8718" max="8961" width="9.140625" style="105"/>
    <col min="8962" max="8962" width="40.140625" style="105" customWidth="1"/>
    <col min="8963" max="8964" width="10.7109375" style="105" customWidth="1"/>
    <col min="8965" max="8965" width="11.42578125" style="105" customWidth="1"/>
    <col min="8966" max="8966" width="18.7109375" style="105" customWidth="1"/>
    <col min="8967" max="8967" width="9.140625" style="105"/>
    <col min="8968" max="8968" width="18.85546875" style="105" customWidth="1"/>
    <col min="8969" max="8969" width="9.140625" style="105"/>
    <col min="8970" max="8970" width="6.5703125" style="105" customWidth="1"/>
    <col min="8971" max="8971" width="10.28515625" style="105" customWidth="1"/>
    <col min="8972" max="8972" width="7.28515625" style="105" customWidth="1"/>
    <col min="8973" max="8973" width="12.28515625" style="105" customWidth="1"/>
    <col min="8974" max="9217" width="9.140625" style="105"/>
    <col min="9218" max="9218" width="40.140625" style="105" customWidth="1"/>
    <col min="9219" max="9220" width="10.7109375" style="105" customWidth="1"/>
    <col min="9221" max="9221" width="11.42578125" style="105" customWidth="1"/>
    <col min="9222" max="9222" width="18.7109375" style="105" customWidth="1"/>
    <col min="9223" max="9223" width="9.140625" style="105"/>
    <col min="9224" max="9224" width="18.85546875" style="105" customWidth="1"/>
    <col min="9225" max="9225" width="9.140625" style="105"/>
    <col min="9226" max="9226" width="6.5703125" style="105" customWidth="1"/>
    <col min="9227" max="9227" width="10.28515625" style="105" customWidth="1"/>
    <col min="9228" max="9228" width="7.28515625" style="105" customWidth="1"/>
    <col min="9229" max="9229" width="12.28515625" style="105" customWidth="1"/>
    <col min="9230" max="9473" width="9.140625" style="105"/>
    <col min="9474" max="9474" width="40.140625" style="105" customWidth="1"/>
    <col min="9475" max="9476" width="10.7109375" style="105" customWidth="1"/>
    <col min="9477" max="9477" width="11.42578125" style="105" customWidth="1"/>
    <col min="9478" max="9478" width="18.7109375" style="105" customWidth="1"/>
    <col min="9479" max="9479" width="9.140625" style="105"/>
    <col min="9480" max="9480" width="18.85546875" style="105" customWidth="1"/>
    <col min="9481" max="9481" width="9.140625" style="105"/>
    <col min="9482" max="9482" width="6.5703125" style="105" customWidth="1"/>
    <col min="9483" max="9483" width="10.28515625" style="105" customWidth="1"/>
    <col min="9484" max="9484" width="7.28515625" style="105" customWidth="1"/>
    <col min="9485" max="9485" width="12.28515625" style="105" customWidth="1"/>
    <col min="9486" max="9729" width="9.140625" style="105"/>
    <col min="9730" max="9730" width="40.140625" style="105" customWidth="1"/>
    <col min="9731" max="9732" width="10.7109375" style="105" customWidth="1"/>
    <col min="9733" max="9733" width="11.42578125" style="105" customWidth="1"/>
    <col min="9734" max="9734" width="18.7109375" style="105" customWidth="1"/>
    <col min="9735" max="9735" width="9.140625" style="105"/>
    <col min="9736" max="9736" width="18.85546875" style="105" customWidth="1"/>
    <col min="9737" max="9737" width="9.140625" style="105"/>
    <col min="9738" max="9738" width="6.5703125" style="105" customWidth="1"/>
    <col min="9739" max="9739" width="10.28515625" style="105" customWidth="1"/>
    <col min="9740" max="9740" width="7.28515625" style="105" customWidth="1"/>
    <col min="9741" max="9741" width="12.28515625" style="105" customWidth="1"/>
    <col min="9742" max="9985" width="9.140625" style="105"/>
    <col min="9986" max="9986" width="40.140625" style="105" customWidth="1"/>
    <col min="9987" max="9988" width="10.7109375" style="105" customWidth="1"/>
    <col min="9989" max="9989" width="11.42578125" style="105" customWidth="1"/>
    <col min="9990" max="9990" width="18.7109375" style="105" customWidth="1"/>
    <col min="9991" max="9991" width="9.140625" style="105"/>
    <col min="9992" max="9992" width="18.85546875" style="105" customWidth="1"/>
    <col min="9993" max="9993" width="9.140625" style="105"/>
    <col min="9994" max="9994" width="6.5703125" style="105" customWidth="1"/>
    <col min="9995" max="9995" width="10.28515625" style="105" customWidth="1"/>
    <col min="9996" max="9996" width="7.28515625" style="105" customWidth="1"/>
    <col min="9997" max="9997" width="12.28515625" style="105" customWidth="1"/>
    <col min="9998" max="10241" width="9.140625" style="105"/>
    <col min="10242" max="10242" width="40.140625" style="105" customWidth="1"/>
    <col min="10243" max="10244" width="10.7109375" style="105" customWidth="1"/>
    <col min="10245" max="10245" width="11.42578125" style="105" customWidth="1"/>
    <col min="10246" max="10246" width="18.7109375" style="105" customWidth="1"/>
    <col min="10247" max="10247" width="9.140625" style="105"/>
    <col min="10248" max="10248" width="18.85546875" style="105" customWidth="1"/>
    <col min="10249" max="10249" width="9.140625" style="105"/>
    <col min="10250" max="10250" width="6.5703125" style="105" customWidth="1"/>
    <col min="10251" max="10251" width="10.28515625" style="105" customWidth="1"/>
    <col min="10252" max="10252" width="7.28515625" style="105" customWidth="1"/>
    <col min="10253" max="10253" width="12.28515625" style="105" customWidth="1"/>
    <col min="10254" max="10497" width="9.140625" style="105"/>
    <col min="10498" max="10498" width="40.140625" style="105" customWidth="1"/>
    <col min="10499" max="10500" width="10.7109375" style="105" customWidth="1"/>
    <col min="10501" max="10501" width="11.42578125" style="105" customWidth="1"/>
    <col min="10502" max="10502" width="18.7109375" style="105" customWidth="1"/>
    <col min="10503" max="10503" width="9.140625" style="105"/>
    <col min="10504" max="10504" width="18.85546875" style="105" customWidth="1"/>
    <col min="10505" max="10505" width="9.140625" style="105"/>
    <col min="10506" max="10506" width="6.5703125" style="105" customWidth="1"/>
    <col min="10507" max="10507" width="10.28515625" style="105" customWidth="1"/>
    <col min="10508" max="10508" width="7.28515625" style="105" customWidth="1"/>
    <col min="10509" max="10509" width="12.28515625" style="105" customWidth="1"/>
    <col min="10510" max="10753" width="9.140625" style="105"/>
    <col min="10754" max="10754" width="40.140625" style="105" customWidth="1"/>
    <col min="10755" max="10756" width="10.7109375" style="105" customWidth="1"/>
    <col min="10757" max="10757" width="11.42578125" style="105" customWidth="1"/>
    <col min="10758" max="10758" width="18.7109375" style="105" customWidth="1"/>
    <col min="10759" max="10759" width="9.140625" style="105"/>
    <col min="10760" max="10760" width="18.85546875" style="105" customWidth="1"/>
    <col min="10761" max="10761" width="9.140625" style="105"/>
    <col min="10762" max="10762" width="6.5703125" style="105" customWidth="1"/>
    <col min="10763" max="10763" width="10.28515625" style="105" customWidth="1"/>
    <col min="10764" max="10764" width="7.28515625" style="105" customWidth="1"/>
    <col min="10765" max="10765" width="12.28515625" style="105" customWidth="1"/>
    <col min="10766" max="11009" width="9.140625" style="105"/>
    <col min="11010" max="11010" width="40.140625" style="105" customWidth="1"/>
    <col min="11011" max="11012" width="10.7109375" style="105" customWidth="1"/>
    <col min="11013" max="11013" width="11.42578125" style="105" customWidth="1"/>
    <col min="11014" max="11014" width="18.7109375" style="105" customWidth="1"/>
    <col min="11015" max="11015" width="9.140625" style="105"/>
    <col min="11016" max="11016" width="18.85546875" style="105" customWidth="1"/>
    <col min="11017" max="11017" width="9.140625" style="105"/>
    <col min="11018" max="11018" width="6.5703125" style="105" customWidth="1"/>
    <col min="11019" max="11019" width="10.28515625" style="105" customWidth="1"/>
    <col min="11020" max="11020" width="7.28515625" style="105" customWidth="1"/>
    <col min="11021" max="11021" width="12.28515625" style="105" customWidth="1"/>
    <col min="11022" max="11265" width="9.140625" style="105"/>
    <col min="11266" max="11266" width="40.140625" style="105" customWidth="1"/>
    <col min="11267" max="11268" width="10.7109375" style="105" customWidth="1"/>
    <col min="11269" max="11269" width="11.42578125" style="105" customWidth="1"/>
    <col min="11270" max="11270" width="18.7109375" style="105" customWidth="1"/>
    <col min="11271" max="11271" width="9.140625" style="105"/>
    <col min="11272" max="11272" width="18.85546875" style="105" customWidth="1"/>
    <col min="11273" max="11273" width="9.140625" style="105"/>
    <col min="11274" max="11274" width="6.5703125" style="105" customWidth="1"/>
    <col min="11275" max="11275" width="10.28515625" style="105" customWidth="1"/>
    <col min="11276" max="11276" width="7.28515625" style="105" customWidth="1"/>
    <col min="11277" max="11277" width="12.28515625" style="105" customWidth="1"/>
    <col min="11278" max="11521" width="9.140625" style="105"/>
    <col min="11522" max="11522" width="40.140625" style="105" customWidth="1"/>
    <col min="11523" max="11524" width="10.7109375" style="105" customWidth="1"/>
    <col min="11525" max="11525" width="11.42578125" style="105" customWidth="1"/>
    <col min="11526" max="11526" width="18.7109375" style="105" customWidth="1"/>
    <col min="11527" max="11527" width="9.140625" style="105"/>
    <col min="11528" max="11528" width="18.85546875" style="105" customWidth="1"/>
    <col min="11529" max="11529" width="9.140625" style="105"/>
    <col min="11530" max="11530" width="6.5703125" style="105" customWidth="1"/>
    <col min="11531" max="11531" width="10.28515625" style="105" customWidth="1"/>
    <col min="11532" max="11532" width="7.28515625" style="105" customWidth="1"/>
    <col min="11533" max="11533" width="12.28515625" style="105" customWidth="1"/>
    <col min="11534" max="11777" width="9.140625" style="105"/>
    <col min="11778" max="11778" width="40.140625" style="105" customWidth="1"/>
    <col min="11779" max="11780" width="10.7109375" style="105" customWidth="1"/>
    <col min="11781" max="11781" width="11.42578125" style="105" customWidth="1"/>
    <col min="11782" max="11782" width="18.7109375" style="105" customWidth="1"/>
    <col min="11783" max="11783" width="9.140625" style="105"/>
    <col min="11784" max="11784" width="18.85546875" style="105" customWidth="1"/>
    <col min="11785" max="11785" width="9.140625" style="105"/>
    <col min="11786" max="11786" width="6.5703125" style="105" customWidth="1"/>
    <col min="11787" max="11787" width="10.28515625" style="105" customWidth="1"/>
    <col min="11788" max="11788" width="7.28515625" style="105" customWidth="1"/>
    <col min="11789" max="11789" width="12.28515625" style="105" customWidth="1"/>
    <col min="11790" max="12033" width="9.140625" style="105"/>
    <col min="12034" max="12034" width="40.140625" style="105" customWidth="1"/>
    <col min="12035" max="12036" width="10.7109375" style="105" customWidth="1"/>
    <col min="12037" max="12037" width="11.42578125" style="105" customWidth="1"/>
    <col min="12038" max="12038" width="18.7109375" style="105" customWidth="1"/>
    <col min="12039" max="12039" width="9.140625" style="105"/>
    <col min="12040" max="12040" width="18.85546875" style="105" customWidth="1"/>
    <col min="12041" max="12041" width="9.140625" style="105"/>
    <col min="12042" max="12042" width="6.5703125" style="105" customWidth="1"/>
    <col min="12043" max="12043" width="10.28515625" style="105" customWidth="1"/>
    <col min="12044" max="12044" width="7.28515625" style="105" customWidth="1"/>
    <col min="12045" max="12045" width="12.28515625" style="105" customWidth="1"/>
    <col min="12046" max="12289" width="9.140625" style="105"/>
    <col min="12290" max="12290" width="40.140625" style="105" customWidth="1"/>
    <col min="12291" max="12292" width="10.7109375" style="105" customWidth="1"/>
    <col min="12293" max="12293" width="11.42578125" style="105" customWidth="1"/>
    <col min="12294" max="12294" width="18.7109375" style="105" customWidth="1"/>
    <col min="12295" max="12295" width="9.140625" style="105"/>
    <col min="12296" max="12296" width="18.85546875" style="105" customWidth="1"/>
    <col min="12297" max="12297" width="9.140625" style="105"/>
    <col min="12298" max="12298" width="6.5703125" style="105" customWidth="1"/>
    <col min="12299" max="12299" width="10.28515625" style="105" customWidth="1"/>
    <col min="12300" max="12300" width="7.28515625" style="105" customWidth="1"/>
    <col min="12301" max="12301" width="12.28515625" style="105" customWidth="1"/>
    <col min="12302" max="12545" width="9.140625" style="105"/>
    <col min="12546" max="12546" width="40.140625" style="105" customWidth="1"/>
    <col min="12547" max="12548" width="10.7109375" style="105" customWidth="1"/>
    <col min="12549" max="12549" width="11.42578125" style="105" customWidth="1"/>
    <col min="12550" max="12550" width="18.7109375" style="105" customWidth="1"/>
    <col min="12551" max="12551" width="9.140625" style="105"/>
    <col min="12552" max="12552" width="18.85546875" style="105" customWidth="1"/>
    <col min="12553" max="12553" width="9.140625" style="105"/>
    <col min="12554" max="12554" width="6.5703125" style="105" customWidth="1"/>
    <col min="12555" max="12555" width="10.28515625" style="105" customWidth="1"/>
    <col min="12556" max="12556" width="7.28515625" style="105" customWidth="1"/>
    <col min="12557" max="12557" width="12.28515625" style="105" customWidth="1"/>
    <col min="12558" max="12801" width="9.140625" style="105"/>
    <col min="12802" max="12802" width="40.140625" style="105" customWidth="1"/>
    <col min="12803" max="12804" width="10.7109375" style="105" customWidth="1"/>
    <col min="12805" max="12805" width="11.42578125" style="105" customWidth="1"/>
    <col min="12806" max="12806" width="18.7109375" style="105" customWidth="1"/>
    <col min="12807" max="12807" width="9.140625" style="105"/>
    <col min="12808" max="12808" width="18.85546875" style="105" customWidth="1"/>
    <col min="12809" max="12809" width="9.140625" style="105"/>
    <col min="12810" max="12810" width="6.5703125" style="105" customWidth="1"/>
    <col min="12811" max="12811" width="10.28515625" style="105" customWidth="1"/>
    <col min="12812" max="12812" width="7.28515625" style="105" customWidth="1"/>
    <col min="12813" max="12813" width="12.28515625" style="105" customWidth="1"/>
    <col min="12814" max="13057" width="9.140625" style="105"/>
    <col min="13058" max="13058" width="40.140625" style="105" customWidth="1"/>
    <col min="13059" max="13060" width="10.7109375" style="105" customWidth="1"/>
    <col min="13061" max="13061" width="11.42578125" style="105" customWidth="1"/>
    <col min="13062" max="13062" width="18.7109375" style="105" customWidth="1"/>
    <col min="13063" max="13063" width="9.140625" style="105"/>
    <col min="13064" max="13064" width="18.85546875" style="105" customWidth="1"/>
    <col min="13065" max="13065" width="9.140625" style="105"/>
    <col min="13066" max="13066" width="6.5703125" style="105" customWidth="1"/>
    <col min="13067" max="13067" width="10.28515625" style="105" customWidth="1"/>
    <col min="13068" max="13068" width="7.28515625" style="105" customWidth="1"/>
    <col min="13069" max="13069" width="12.28515625" style="105" customWidth="1"/>
    <col min="13070" max="13313" width="9.140625" style="105"/>
    <col min="13314" max="13314" width="40.140625" style="105" customWidth="1"/>
    <col min="13315" max="13316" width="10.7109375" style="105" customWidth="1"/>
    <col min="13317" max="13317" width="11.42578125" style="105" customWidth="1"/>
    <col min="13318" max="13318" width="18.7109375" style="105" customWidth="1"/>
    <col min="13319" max="13319" width="9.140625" style="105"/>
    <col min="13320" max="13320" width="18.85546875" style="105" customWidth="1"/>
    <col min="13321" max="13321" width="9.140625" style="105"/>
    <col min="13322" max="13322" width="6.5703125" style="105" customWidth="1"/>
    <col min="13323" max="13323" width="10.28515625" style="105" customWidth="1"/>
    <col min="13324" max="13324" width="7.28515625" style="105" customWidth="1"/>
    <col min="13325" max="13325" width="12.28515625" style="105" customWidth="1"/>
    <col min="13326" max="13569" width="9.140625" style="105"/>
    <col min="13570" max="13570" width="40.140625" style="105" customWidth="1"/>
    <col min="13571" max="13572" width="10.7109375" style="105" customWidth="1"/>
    <col min="13573" max="13573" width="11.42578125" style="105" customWidth="1"/>
    <col min="13574" max="13574" width="18.7109375" style="105" customWidth="1"/>
    <col min="13575" max="13575" width="9.140625" style="105"/>
    <col min="13576" max="13576" width="18.85546875" style="105" customWidth="1"/>
    <col min="13577" max="13577" width="9.140625" style="105"/>
    <col min="13578" max="13578" width="6.5703125" style="105" customWidth="1"/>
    <col min="13579" max="13579" width="10.28515625" style="105" customWidth="1"/>
    <col min="13580" max="13580" width="7.28515625" style="105" customWidth="1"/>
    <col min="13581" max="13581" width="12.28515625" style="105" customWidth="1"/>
    <col min="13582" max="13825" width="9.140625" style="105"/>
    <col min="13826" max="13826" width="40.140625" style="105" customWidth="1"/>
    <col min="13827" max="13828" width="10.7109375" style="105" customWidth="1"/>
    <col min="13829" max="13829" width="11.42578125" style="105" customWidth="1"/>
    <col min="13830" max="13830" width="18.7109375" style="105" customWidth="1"/>
    <col min="13831" max="13831" width="9.140625" style="105"/>
    <col min="13832" max="13832" width="18.85546875" style="105" customWidth="1"/>
    <col min="13833" max="13833" width="9.140625" style="105"/>
    <col min="13834" max="13834" width="6.5703125" style="105" customWidth="1"/>
    <col min="13835" max="13835" width="10.28515625" style="105" customWidth="1"/>
    <col min="13836" max="13836" width="7.28515625" style="105" customWidth="1"/>
    <col min="13837" max="13837" width="12.28515625" style="105" customWidth="1"/>
    <col min="13838" max="14081" width="9.140625" style="105"/>
    <col min="14082" max="14082" width="40.140625" style="105" customWidth="1"/>
    <col min="14083" max="14084" width="10.7109375" style="105" customWidth="1"/>
    <col min="14085" max="14085" width="11.42578125" style="105" customWidth="1"/>
    <col min="14086" max="14086" width="18.7109375" style="105" customWidth="1"/>
    <col min="14087" max="14087" width="9.140625" style="105"/>
    <col min="14088" max="14088" width="18.85546875" style="105" customWidth="1"/>
    <col min="14089" max="14089" width="9.140625" style="105"/>
    <col min="14090" max="14090" width="6.5703125" style="105" customWidth="1"/>
    <col min="14091" max="14091" width="10.28515625" style="105" customWidth="1"/>
    <col min="14092" max="14092" width="7.28515625" style="105" customWidth="1"/>
    <col min="14093" max="14093" width="12.28515625" style="105" customWidth="1"/>
    <col min="14094" max="14337" width="9.140625" style="105"/>
    <col min="14338" max="14338" width="40.140625" style="105" customWidth="1"/>
    <col min="14339" max="14340" width="10.7109375" style="105" customWidth="1"/>
    <col min="14341" max="14341" width="11.42578125" style="105" customWidth="1"/>
    <col min="14342" max="14342" width="18.7109375" style="105" customWidth="1"/>
    <col min="14343" max="14343" width="9.140625" style="105"/>
    <col min="14344" max="14344" width="18.85546875" style="105" customWidth="1"/>
    <col min="14345" max="14345" width="9.140625" style="105"/>
    <col min="14346" max="14346" width="6.5703125" style="105" customWidth="1"/>
    <col min="14347" max="14347" width="10.28515625" style="105" customWidth="1"/>
    <col min="14348" max="14348" width="7.28515625" style="105" customWidth="1"/>
    <col min="14349" max="14349" width="12.28515625" style="105" customWidth="1"/>
    <col min="14350" max="14593" width="9.140625" style="105"/>
    <col min="14594" max="14594" width="40.140625" style="105" customWidth="1"/>
    <col min="14595" max="14596" width="10.7109375" style="105" customWidth="1"/>
    <col min="14597" max="14597" width="11.42578125" style="105" customWidth="1"/>
    <col min="14598" max="14598" width="18.7109375" style="105" customWidth="1"/>
    <col min="14599" max="14599" width="9.140625" style="105"/>
    <col min="14600" max="14600" width="18.85546875" style="105" customWidth="1"/>
    <col min="14601" max="14601" width="9.140625" style="105"/>
    <col min="14602" max="14602" width="6.5703125" style="105" customWidth="1"/>
    <col min="14603" max="14603" width="10.28515625" style="105" customWidth="1"/>
    <col min="14604" max="14604" width="7.28515625" style="105" customWidth="1"/>
    <col min="14605" max="14605" width="12.28515625" style="105" customWidth="1"/>
    <col min="14606" max="14849" width="9.140625" style="105"/>
    <col min="14850" max="14850" width="40.140625" style="105" customWidth="1"/>
    <col min="14851" max="14852" width="10.7109375" style="105" customWidth="1"/>
    <col min="14853" max="14853" width="11.42578125" style="105" customWidth="1"/>
    <col min="14854" max="14854" width="18.7109375" style="105" customWidth="1"/>
    <col min="14855" max="14855" width="9.140625" style="105"/>
    <col min="14856" max="14856" width="18.85546875" style="105" customWidth="1"/>
    <col min="14857" max="14857" width="9.140625" style="105"/>
    <col min="14858" max="14858" width="6.5703125" style="105" customWidth="1"/>
    <col min="14859" max="14859" width="10.28515625" style="105" customWidth="1"/>
    <col min="14860" max="14860" width="7.28515625" style="105" customWidth="1"/>
    <col min="14861" max="14861" width="12.28515625" style="105" customWidth="1"/>
    <col min="14862" max="15105" width="9.140625" style="105"/>
    <col min="15106" max="15106" width="40.140625" style="105" customWidth="1"/>
    <col min="15107" max="15108" width="10.7109375" style="105" customWidth="1"/>
    <col min="15109" max="15109" width="11.42578125" style="105" customWidth="1"/>
    <col min="15110" max="15110" width="18.7109375" style="105" customWidth="1"/>
    <col min="15111" max="15111" width="9.140625" style="105"/>
    <col min="15112" max="15112" width="18.85546875" style="105" customWidth="1"/>
    <col min="15113" max="15113" width="9.140625" style="105"/>
    <col min="15114" max="15114" width="6.5703125" style="105" customWidth="1"/>
    <col min="15115" max="15115" width="10.28515625" style="105" customWidth="1"/>
    <col min="15116" max="15116" width="7.28515625" style="105" customWidth="1"/>
    <col min="15117" max="15117" width="12.28515625" style="105" customWidth="1"/>
    <col min="15118" max="15361" width="9.140625" style="105"/>
    <col min="15362" max="15362" width="40.140625" style="105" customWidth="1"/>
    <col min="15363" max="15364" width="10.7109375" style="105" customWidth="1"/>
    <col min="15365" max="15365" width="11.42578125" style="105" customWidth="1"/>
    <col min="15366" max="15366" width="18.7109375" style="105" customWidth="1"/>
    <col min="15367" max="15367" width="9.140625" style="105"/>
    <col min="15368" max="15368" width="18.85546875" style="105" customWidth="1"/>
    <col min="15369" max="15369" width="9.140625" style="105"/>
    <col min="15370" max="15370" width="6.5703125" style="105" customWidth="1"/>
    <col min="15371" max="15371" width="10.28515625" style="105" customWidth="1"/>
    <col min="15372" max="15372" width="7.28515625" style="105" customWidth="1"/>
    <col min="15373" max="15373" width="12.28515625" style="105" customWidth="1"/>
    <col min="15374" max="15617" width="9.140625" style="105"/>
    <col min="15618" max="15618" width="40.140625" style="105" customWidth="1"/>
    <col min="15619" max="15620" width="10.7109375" style="105" customWidth="1"/>
    <col min="15621" max="15621" width="11.42578125" style="105" customWidth="1"/>
    <col min="15622" max="15622" width="18.7109375" style="105" customWidth="1"/>
    <col min="15623" max="15623" width="9.140625" style="105"/>
    <col min="15624" max="15624" width="18.85546875" style="105" customWidth="1"/>
    <col min="15625" max="15625" width="9.140625" style="105"/>
    <col min="15626" max="15626" width="6.5703125" style="105" customWidth="1"/>
    <col min="15627" max="15627" width="10.28515625" style="105" customWidth="1"/>
    <col min="15628" max="15628" width="7.28515625" style="105" customWidth="1"/>
    <col min="15629" max="15629" width="12.28515625" style="105" customWidth="1"/>
    <col min="15630" max="15873" width="9.140625" style="105"/>
    <col min="15874" max="15874" width="40.140625" style="105" customWidth="1"/>
    <col min="15875" max="15876" width="10.7109375" style="105" customWidth="1"/>
    <col min="15877" max="15877" width="11.42578125" style="105" customWidth="1"/>
    <col min="15878" max="15878" width="18.7109375" style="105" customWidth="1"/>
    <col min="15879" max="15879" width="9.140625" style="105"/>
    <col min="15880" max="15880" width="18.85546875" style="105" customWidth="1"/>
    <col min="15881" max="15881" width="9.140625" style="105"/>
    <col min="15882" max="15882" width="6.5703125" style="105" customWidth="1"/>
    <col min="15883" max="15883" width="10.28515625" style="105" customWidth="1"/>
    <col min="15884" max="15884" width="7.28515625" style="105" customWidth="1"/>
    <col min="15885" max="15885" width="12.28515625" style="105" customWidth="1"/>
    <col min="15886" max="16129" width="9.140625" style="105"/>
    <col min="16130" max="16130" width="40.140625" style="105" customWidth="1"/>
    <col min="16131" max="16132" width="10.7109375" style="105" customWidth="1"/>
    <col min="16133" max="16133" width="11.42578125" style="105" customWidth="1"/>
    <col min="16134" max="16134" width="18.7109375" style="105" customWidth="1"/>
    <col min="16135" max="16135" width="9.140625" style="105"/>
    <col min="16136" max="16136" width="18.85546875" style="105" customWidth="1"/>
    <col min="16137" max="16137" width="9.140625" style="105"/>
    <col min="16138" max="16138" width="6.5703125" style="105" customWidth="1"/>
    <col min="16139" max="16139" width="10.28515625" style="105" customWidth="1"/>
    <col min="16140" max="16140" width="7.28515625" style="105" customWidth="1"/>
    <col min="16141" max="16141" width="12.28515625" style="105" customWidth="1"/>
    <col min="16142" max="16384" width="9.140625" style="105"/>
  </cols>
  <sheetData>
    <row r="1" spans="2:6" s="103" customFormat="1" ht="12.75" thickBot="1" x14ac:dyDescent="0.25">
      <c r="F1" s="104"/>
    </row>
    <row r="2" spans="2:6" ht="18" customHeight="1" thickBot="1" x14ac:dyDescent="0.3">
      <c r="B2" s="171" t="s">
        <v>176</v>
      </c>
      <c r="C2" s="172"/>
      <c r="D2" s="172"/>
      <c r="E2" s="172"/>
      <c r="F2" s="173"/>
    </row>
    <row r="3" spans="2:6" ht="18" customHeight="1" thickBot="1" x14ac:dyDescent="0.25">
      <c r="B3" s="106"/>
      <c r="C3" s="107"/>
      <c r="D3" s="107"/>
      <c r="E3" s="107"/>
      <c r="F3" s="108"/>
    </row>
    <row r="4" spans="2:6" ht="18" customHeight="1" x14ac:dyDescent="0.2">
      <c r="B4" s="174" t="s">
        <v>177</v>
      </c>
      <c r="C4" s="175"/>
      <c r="D4" s="176" t="s">
        <v>178</v>
      </c>
      <c r="E4" s="177"/>
      <c r="F4" s="178"/>
    </row>
    <row r="5" spans="2:6" ht="18" customHeight="1" thickBot="1" x14ac:dyDescent="0.25">
      <c r="B5" s="179" t="s">
        <v>179</v>
      </c>
      <c r="C5" s="180"/>
      <c r="D5" s="181">
        <v>57</v>
      </c>
      <c r="E5" s="182"/>
      <c r="F5" s="183"/>
    </row>
    <row r="6" spans="2:6" ht="18" customHeight="1" thickBot="1" x14ac:dyDescent="0.25">
      <c r="B6" s="107"/>
      <c r="C6" s="107"/>
      <c r="D6" s="107"/>
      <c r="E6" s="107"/>
      <c r="F6" s="108"/>
    </row>
    <row r="7" spans="2:6" ht="18" customHeight="1" x14ac:dyDescent="0.2">
      <c r="B7" s="109" t="s">
        <v>180</v>
      </c>
      <c r="C7" s="110" t="s">
        <v>181</v>
      </c>
      <c r="D7" s="110" t="s">
        <v>182</v>
      </c>
      <c r="E7" s="110" t="s">
        <v>183</v>
      </c>
      <c r="F7" s="111" t="s">
        <v>184</v>
      </c>
    </row>
    <row r="8" spans="2:6" ht="18" customHeight="1" x14ac:dyDescent="0.2">
      <c r="B8" s="112" t="s">
        <v>185</v>
      </c>
      <c r="C8" s="113">
        <v>1998</v>
      </c>
      <c r="D8" s="113">
        <v>2023</v>
      </c>
      <c r="E8" s="113">
        <v>32</v>
      </c>
      <c r="F8" s="114">
        <f>'Rente alle Jahreseinkommen'!H72</f>
        <v>248505.77000000005</v>
      </c>
    </row>
    <row r="9" spans="2:6" ht="18" customHeight="1" thickBot="1" x14ac:dyDescent="0.25">
      <c r="B9" s="115"/>
      <c r="C9" s="116"/>
      <c r="D9" s="116"/>
      <c r="E9" s="116"/>
      <c r="F9" s="117"/>
    </row>
    <row r="10" spans="2:6" ht="18" customHeight="1" thickBot="1" x14ac:dyDescent="0.25">
      <c r="B10" s="118" t="s">
        <v>186</v>
      </c>
      <c r="C10" s="119"/>
      <c r="D10" s="119"/>
      <c r="E10" s="119">
        <f>SUM(E8:E8)</f>
        <v>32</v>
      </c>
      <c r="F10" s="120">
        <f>SUM(F8:F8)</f>
        <v>248505.77000000005</v>
      </c>
    </row>
    <row r="11" spans="2:6" ht="18" customHeight="1" thickBot="1" x14ac:dyDescent="0.3">
      <c r="B11" s="121" t="s">
        <v>187</v>
      </c>
      <c r="C11" s="107"/>
      <c r="D11" s="107"/>
      <c r="E11" s="107"/>
      <c r="F11" s="108"/>
    </row>
    <row r="12" spans="2:6" ht="18" customHeight="1" x14ac:dyDescent="0.2">
      <c r="B12" s="122" t="s">
        <v>225</v>
      </c>
      <c r="C12" s="123"/>
      <c r="D12" s="123"/>
      <c r="E12" s="123"/>
      <c r="F12" s="124"/>
    </row>
    <row r="13" spans="2:6" ht="18" customHeight="1" x14ac:dyDescent="0.2">
      <c r="B13" s="115" t="s">
        <v>188</v>
      </c>
      <c r="C13" s="107"/>
      <c r="D13" s="107"/>
      <c r="E13" s="107"/>
      <c r="F13" s="125">
        <v>2085</v>
      </c>
    </row>
    <row r="14" spans="2:6" ht="18" customHeight="1" x14ac:dyDescent="0.2">
      <c r="B14" s="115" t="s">
        <v>189</v>
      </c>
      <c r="C14" s="107"/>
      <c r="D14" s="107"/>
      <c r="E14" s="107"/>
      <c r="F14" s="126">
        <f>(INDEX('Rente Taux'!C3:C42,'Rente Taux'!B43,1))/100</f>
        <v>0.24850000000000003</v>
      </c>
    </row>
    <row r="15" spans="2:6" ht="18" customHeight="1" x14ac:dyDescent="0.2">
      <c r="B15" s="115" t="s">
        <v>190</v>
      </c>
      <c r="C15" s="107"/>
      <c r="D15" s="107"/>
      <c r="E15" s="107"/>
      <c r="F15" s="126">
        <f>(INDEX('Rente Taux'!D3:D42,'Rente Taux'!B43,1))/100</f>
        <v>1.7749999999999998E-2</v>
      </c>
    </row>
    <row r="16" spans="2:6" ht="18" customHeight="1" x14ac:dyDescent="0.2">
      <c r="B16" s="115" t="s">
        <v>191</v>
      </c>
      <c r="C16" s="107"/>
      <c r="D16" s="107"/>
      <c r="E16" s="107"/>
      <c r="F16" s="127">
        <f>INDEX([1]taux!E3:E42,[1]taux!B43,1)</f>
        <v>94</v>
      </c>
    </row>
    <row r="17" spans="2:13" ht="18" customHeight="1" x14ac:dyDescent="0.2">
      <c r="B17" s="115" t="s">
        <v>192</v>
      </c>
      <c r="C17" s="107"/>
      <c r="D17" s="107"/>
      <c r="E17" s="107"/>
      <c r="F17" s="126">
        <f>(INDEX('Rente Taux'!F3:F42,'Rente Taux'!B43,1))/100</f>
        <v>1.5000000000000001E-4</v>
      </c>
    </row>
    <row r="18" spans="2:13" ht="18" customHeight="1" x14ac:dyDescent="0.2">
      <c r="B18" s="115" t="s">
        <v>193</v>
      </c>
      <c r="C18" s="107"/>
      <c r="D18" s="107"/>
      <c r="E18" s="107"/>
      <c r="F18" s="126">
        <f>MIN(2.05%,IF((((D5+E8)-F16)*F17)+F15&lt;F15,F15,(((D5+E8)-F16)*F17)+F15))</f>
        <v>1.7749999999999998E-2</v>
      </c>
      <c r="G18" s="128"/>
    </row>
    <row r="19" spans="2:13" ht="18" customHeight="1" x14ac:dyDescent="0.2">
      <c r="B19" s="115" t="s">
        <v>194</v>
      </c>
      <c r="C19" s="107"/>
      <c r="D19" s="107"/>
      <c r="E19" s="107"/>
      <c r="F19" s="129">
        <f>INDEX('Rente alle Jahreseinkommen'!G48:G70,('Rente Taux'!B43)-4,1)</f>
        <v>1.52</v>
      </c>
    </row>
    <row r="20" spans="2:13" ht="18" customHeight="1" x14ac:dyDescent="0.2">
      <c r="B20" s="115" t="s">
        <v>195</v>
      </c>
      <c r="C20" s="107"/>
      <c r="D20" s="107"/>
      <c r="E20" s="148" t="str">
        <f>Start!D34</f>
        <v xml:space="preserve"> 1.9.2023</v>
      </c>
      <c r="F20" s="149">
        <f>Start!I34</f>
        <v>944.43</v>
      </c>
      <c r="G20" s="169" t="s">
        <v>197</v>
      </c>
      <c r="H20" s="170"/>
    </row>
    <row r="21" spans="2:13" ht="18" customHeight="1" thickBot="1" x14ac:dyDescent="0.25">
      <c r="B21" s="130" t="s">
        <v>196</v>
      </c>
      <c r="C21" s="131"/>
      <c r="D21" s="131"/>
      <c r="E21" s="150"/>
      <c r="F21" s="151">
        <f>Start!I36</f>
        <v>2570.9300000000003</v>
      </c>
      <c r="G21" s="169"/>
      <c r="H21" s="170"/>
      <c r="I21" s="132"/>
      <c r="J21" s="132"/>
      <c r="K21" s="133">
        <f>F21*5</f>
        <v>12854.650000000001</v>
      </c>
      <c r="L21" s="132" t="s">
        <v>198</v>
      </c>
      <c r="M21" s="133">
        <f>K21*12</f>
        <v>154255.80000000002</v>
      </c>
    </row>
    <row r="22" spans="2:13" ht="18" customHeight="1" x14ac:dyDescent="0.25">
      <c r="B22" s="121" t="s">
        <v>199</v>
      </c>
      <c r="C22" s="107"/>
      <c r="D22" s="107"/>
      <c r="E22" s="107"/>
      <c r="F22" s="108"/>
    </row>
    <row r="23" spans="2:13" ht="18" customHeight="1" x14ac:dyDescent="0.2">
      <c r="B23" s="134" t="s">
        <v>200</v>
      </c>
      <c r="C23" s="107"/>
      <c r="D23" s="107"/>
      <c r="E23" s="107"/>
      <c r="F23" s="108">
        <f>(F13*F14*((IF(E10&lt;41,E10,40))/40)*(F20/100)*F19)/12</f>
        <v>495.85483844400005</v>
      </c>
    </row>
    <row r="24" spans="2:13" ht="18" customHeight="1" x14ac:dyDescent="0.2">
      <c r="B24" s="134" t="s">
        <v>201</v>
      </c>
      <c r="C24" s="107"/>
      <c r="D24" s="107"/>
      <c r="E24" s="107"/>
      <c r="F24" s="146">
        <f>(F18*F10*(F20/100)*F19)/12</f>
        <v>5276.7552430520655</v>
      </c>
    </row>
    <row r="25" spans="2:13" ht="18" customHeight="1" x14ac:dyDescent="0.2">
      <c r="B25" s="134" t="s">
        <v>202</v>
      </c>
      <c r="C25" s="107"/>
      <c r="D25" s="107"/>
      <c r="E25" s="107"/>
      <c r="F25" s="108">
        <f>SUM(F23:F24)</f>
        <v>5772.6100814960655</v>
      </c>
    </row>
    <row r="26" spans="2:13" ht="18" customHeight="1" x14ac:dyDescent="0.2">
      <c r="B26" s="134"/>
      <c r="C26" s="107"/>
      <c r="D26" s="107"/>
      <c r="E26" s="107"/>
      <c r="F26" s="108"/>
    </row>
    <row r="27" spans="2:13" ht="18" customHeight="1" x14ac:dyDescent="0.2">
      <c r="B27" s="107" t="s">
        <v>203</v>
      </c>
      <c r="C27" s="135">
        <v>2.7999999999999997E-2</v>
      </c>
      <c r="D27" s="107"/>
      <c r="E27" s="107"/>
      <c r="F27" s="108">
        <f>F25*C27</f>
        <v>161.63308228188981</v>
      </c>
    </row>
    <row r="28" spans="2:13" ht="18" customHeight="1" x14ac:dyDescent="0.2">
      <c r="B28" s="134" t="s">
        <v>204</v>
      </c>
      <c r="C28" s="107"/>
      <c r="D28" s="107"/>
      <c r="E28" s="107"/>
      <c r="F28" s="136">
        <f>F25-F27-F26</f>
        <v>5610.9769992141755</v>
      </c>
    </row>
    <row r="29" spans="2:13" ht="18" customHeight="1" x14ac:dyDescent="0.2">
      <c r="B29" s="137" t="s">
        <v>141</v>
      </c>
      <c r="C29">
        <v>2</v>
      </c>
      <c r="D29" s="138" t="s">
        <v>205</v>
      </c>
      <c r="E29" s="139">
        <v>0</v>
      </c>
      <c r="F29" s="108">
        <f>'Steuermodul 2024'!B27</f>
        <v>514.29999999999995</v>
      </c>
    </row>
    <row r="30" spans="2:13" ht="18" customHeight="1" x14ac:dyDescent="0.2">
      <c r="B30" s="107" t="s">
        <v>206</v>
      </c>
      <c r="C30" s="135">
        <v>1.3999999999999999E-2</v>
      </c>
      <c r="D30" s="107"/>
      <c r="E30" s="107"/>
      <c r="F30" s="108">
        <f>(F28-(F21/4))*C30</f>
        <v>69.555422988998444</v>
      </c>
    </row>
    <row r="31" spans="2:13" ht="18" customHeight="1" x14ac:dyDescent="0.2">
      <c r="B31" s="107"/>
      <c r="C31" s="135"/>
      <c r="D31" s="107"/>
      <c r="E31" s="107"/>
      <c r="F31" s="108"/>
    </row>
    <row r="32" spans="2:13" ht="18" customHeight="1" x14ac:dyDescent="0.2">
      <c r="B32" s="134" t="s">
        <v>207</v>
      </c>
      <c r="C32" s="107"/>
      <c r="D32" s="107"/>
      <c r="E32" s="107"/>
      <c r="F32" s="136">
        <f>F28-F29-F30-F31</f>
        <v>5027.1215762251768</v>
      </c>
    </row>
    <row r="33" spans="2:6" ht="12.75" thickBot="1" x14ac:dyDescent="0.25">
      <c r="B33" s="107"/>
      <c r="C33" s="107"/>
      <c r="D33" s="107"/>
      <c r="E33" s="107"/>
      <c r="F33" s="108"/>
    </row>
    <row r="34" spans="2:6" ht="12.75" customHeight="1" x14ac:dyDescent="0.2">
      <c r="B34" s="122" t="s">
        <v>208</v>
      </c>
      <c r="C34" s="123"/>
      <c r="D34" s="123"/>
      <c r="E34" s="123"/>
      <c r="F34" s="140">
        <f>(F13*0.9*(F20/100)*F19)/12</f>
        <v>2244.8156670000003</v>
      </c>
    </row>
    <row r="35" spans="2:6" ht="12.75" customHeight="1" thickBot="1" x14ac:dyDescent="0.25">
      <c r="B35" s="130" t="s">
        <v>209</v>
      </c>
      <c r="C35" s="131"/>
      <c r="D35" s="131"/>
      <c r="E35" s="131"/>
      <c r="F35" s="141">
        <f>(($F$13*($F$20/100)*$F$19*5)*(5/6))/12</f>
        <v>10392.665125000001</v>
      </c>
    </row>
    <row r="36" spans="2:6" ht="12.75" customHeight="1" x14ac:dyDescent="0.2">
      <c r="B36" s="107"/>
      <c r="C36" s="107"/>
      <c r="D36" s="107"/>
      <c r="E36" s="107"/>
      <c r="F36" s="108"/>
    </row>
    <row r="37" spans="2:6" x14ac:dyDescent="0.2">
      <c r="B37" s="107" t="s">
        <v>210</v>
      </c>
      <c r="C37" s="107"/>
      <c r="D37" s="107"/>
      <c r="E37" s="107"/>
      <c r="F37" s="108">
        <f>INDEX([1]revenu!I48:I60,[1]taux!B43,1)</f>
        <v>868.76232319999997</v>
      </c>
    </row>
    <row r="38" spans="2:6" x14ac:dyDescent="0.2">
      <c r="B38" s="107" t="s">
        <v>211</v>
      </c>
      <c r="C38" s="107"/>
      <c r="D38" s="107"/>
      <c r="E38" s="107"/>
      <c r="F38" s="108">
        <f>F25*12+F37</f>
        <v>70140.083301152787</v>
      </c>
    </row>
    <row r="39" spans="2:6" x14ac:dyDescent="0.2">
      <c r="B39" s="107" t="s">
        <v>212</v>
      </c>
      <c r="C39" s="107"/>
      <c r="D39" s="107"/>
      <c r="E39" s="107"/>
      <c r="F39" s="108">
        <f>(INDEX([1]revenu!C47:C70,[1]taux!B43,1))*0.92</f>
        <v>75004.747999999992</v>
      </c>
    </row>
    <row r="40" spans="2:6" x14ac:dyDescent="0.2">
      <c r="B40" s="107" t="s">
        <v>213</v>
      </c>
      <c r="C40" s="107"/>
      <c r="D40" s="107"/>
      <c r="E40" s="107"/>
      <c r="F40" s="135">
        <f>(F38)/F39</f>
        <v>0.93514190996485702</v>
      </c>
    </row>
    <row r="41" spans="2:6" s="103" customFormat="1" x14ac:dyDescent="0.2">
      <c r="F41" s="104"/>
    </row>
    <row r="42" spans="2:6" s="103" customFormat="1" x14ac:dyDescent="0.2">
      <c r="F42" s="104"/>
    </row>
    <row r="43" spans="2:6" s="103" customFormat="1" x14ac:dyDescent="0.2">
      <c r="F43" s="104"/>
    </row>
    <row r="44" spans="2:6" s="103" customFormat="1" x14ac:dyDescent="0.2">
      <c r="F44" s="104"/>
    </row>
    <row r="45" spans="2:6" s="103" customFormat="1" x14ac:dyDescent="0.2">
      <c r="F45" s="104"/>
    </row>
    <row r="46" spans="2:6" s="103" customFormat="1" x14ac:dyDescent="0.2">
      <c r="F46" s="104"/>
    </row>
    <row r="47" spans="2:6" s="103" customFormat="1" x14ac:dyDescent="0.2">
      <c r="F47" s="104"/>
    </row>
    <row r="48" spans="2:6" s="103" customFormat="1" x14ac:dyDescent="0.2">
      <c r="F48" s="104"/>
    </row>
    <row r="49" spans="6:6" s="103" customFormat="1" x14ac:dyDescent="0.2">
      <c r="F49" s="104"/>
    </row>
    <row r="50" spans="6:6" s="103" customFormat="1" x14ac:dyDescent="0.2">
      <c r="F50" s="104"/>
    </row>
    <row r="51" spans="6:6" s="103" customFormat="1" x14ac:dyDescent="0.2">
      <c r="F51" s="104"/>
    </row>
    <row r="52" spans="6:6" s="103" customFormat="1" x14ac:dyDescent="0.2">
      <c r="F52" s="104"/>
    </row>
    <row r="53" spans="6:6" s="103" customFormat="1" x14ac:dyDescent="0.2">
      <c r="F53" s="104"/>
    </row>
    <row r="54" spans="6:6" s="103" customFormat="1" x14ac:dyDescent="0.2">
      <c r="F54" s="104"/>
    </row>
    <row r="55" spans="6:6" s="103" customFormat="1" x14ac:dyDescent="0.2">
      <c r="F55" s="104"/>
    </row>
    <row r="56" spans="6:6" s="103" customFormat="1" x14ac:dyDescent="0.2">
      <c r="F56" s="104"/>
    </row>
    <row r="57" spans="6:6" s="103" customFormat="1" x14ac:dyDescent="0.2">
      <c r="F57" s="104"/>
    </row>
    <row r="58" spans="6:6" s="103" customFormat="1" x14ac:dyDescent="0.2">
      <c r="F58" s="104"/>
    </row>
    <row r="59" spans="6:6" s="103" customFormat="1" x14ac:dyDescent="0.2">
      <c r="F59" s="104"/>
    </row>
    <row r="60" spans="6:6" s="103" customFormat="1" x14ac:dyDescent="0.2">
      <c r="F60" s="104"/>
    </row>
    <row r="61" spans="6:6" s="103" customFormat="1" x14ac:dyDescent="0.2">
      <c r="F61" s="104"/>
    </row>
    <row r="62" spans="6:6" s="103" customFormat="1" x14ac:dyDescent="0.2">
      <c r="F62" s="104"/>
    </row>
    <row r="63" spans="6:6" s="103" customFormat="1" x14ac:dyDescent="0.2">
      <c r="F63" s="104"/>
    </row>
    <row r="64" spans="6:6" s="103" customFormat="1" x14ac:dyDescent="0.2">
      <c r="F64" s="104"/>
    </row>
    <row r="65" spans="6:6" s="103" customFormat="1" x14ac:dyDescent="0.2">
      <c r="F65" s="104"/>
    </row>
    <row r="66" spans="6:6" s="103" customFormat="1" x14ac:dyDescent="0.2">
      <c r="F66" s="104"/>
    </row>
    <row r="67" spans="6:6" s="103" customFormat="1" x14ac:dyDescent="0.2">
      <c r="F67" s="104"/>
    </row>
    <row r="68" spans="6:6" s="103" customFormat="1" x14ac:dyDescent="0.2">
      <c r="F68" s="104"/>
    </row>
    <row r="69" spans="6:6" s="103" customFormat="1" x14ac:dyDescent="0.2">
      <c r="F69" s="104"/>
    </row>
    <row r="70" spans="6:6" s="103" customFormat="1" x14ac:dyDescent="0.2">
      <c r="F70" s="104"/>
    </row>
    <row r="71" spans="6:6" s="103" customFormat="1" x14ac:dyDescent="0.2">
      <c r="F71" s="104"/>
    </row>
    <row r="72" spans="6:6" s="103" customFormat="1" x14ac:dyDescent="0.2">
      <c r="F72" s="104"/>
    </row>
    <row r="73" spans="6:6" s="103" customFormat="1" x14ac:dyDescent="0.2">
      <c r="F73" s="104"/>
    </row>
    <row r="74" spans="6:6" s="103" customFormat="1" x14ac:dyDescent="0.2">
      <c r="F74" s="104"/>
    </row>
    <row r="75" spans="6:6" s="103" customFormat="1" x14ac:dyDescent="0.2">
      <c r="F75" s="104"/>
    </row>
    <row r="76" spans="6:6" s="103" customFormat="1" x14ac:dyDescent="0.2">
      <c r="F76" s="104"/>
    </row>
    <row r="77" spans="6:6" s="103" customFormat="1" x14ac:dyDescent="0.2">
      <c r="F77" s="104"/>
    </row>
    <row r="78" spans="6:6" s="103" customFormat="1" x14ac:dyDescent="0.2">
      <c r="F78" s="104"/>
    </row>
    <row r="79" spans="6:6" s="103" customFormat="1" x14ac:dyDescent="0.2">
      <c r="F79" s="104"/>
    </row>
    <row r="80" spans="6:6" s="103" customFormat="1" x14ac:dyDescent="0.2">
      <c r="F80" s="104"/>
    </row>
    <row r="81" spans="6:6" s="103" customFormat="1" x14ac:dyDescent="0.2">
      <c r="F81" s="104"/>
    </row>
    <row r="82" spans="6:6" s="103" customFormat="1" x14ac:dyDescent="0.2">
      <c r="F82" s="104"/>
    </row>
    <row r="83" spans="6:6" s="103" customFormat="1" x14ac:dyDescent="0.2">
      <c r="F83" s="104"/>
    </row>
    <row r="84" spans="6:6" s="103" customFormat="1" x14ac:dyDescent="0.2">
      <c r="F84" s="104"/>
    </row>
    <row r="85" spans="6:6" s="103" customFormat="1" x14ac:dyDescent="0.2">
      <c r="F85" s="104"/>
    </row>
    <row r="86" spans="6:6" s="103" customFormat="1" x14ac:dyDescent="0.2">
      <c r="F86" s="104"/>
    </row>
    <row r="87" spans="6:6" s="103" customFormat="1" x14ac:dyDescent="0.2">
      <c r="F87" s="104"/>
    </row>
    <row r="88" spans="6:6" s="103" customFormat="1" x14ac:dyDescent="0.2">
      <c r="F88" s="104"/>
    </row>
    <row r="89" spans="6:6" s="103" customFormat="1" x14ac:dyDescent="0.2">
      <c r="F89" s="104"/>
    </row>
    <row r="90" spans="6:6" s="103" customFormat="1" x14ac:dyDescent="0.2">
      <c r="F90" s="104"/>
    </row>
    <row r="91" spans="6:6" s="103" customFormat="1" x14ac:dyDescent="0.2">
      <c r="F91" s="104"/>
    </row>
    <row r="92" spans="6:6" s="103" customFormat="1" x14ac:dyDescent="0.2">
      <c r="F92" s="104"/>
    </row>
    <row r="93" spans="6:6" s="103" customFormat="1" x14ac:dyDescent="0.2">
      <c r="F93" s="104"/>
    </row>
    <row r="94" spans="6:6" s="103" customFormat="1" x14ac:dyDescent="0.2">
      <c r="F94" s="104"/>
    </row>
    <row r="95" spans="6:6" s="103" customFormat="1" x14ac:dyDescent="0.2">
      <c r="F95" s="104"/>
    </row>
    <row r="96" spans="6:6" s="103" customFormat="1" x14ac:dyDescent="0.2">
      <c r="F96" s="104"/>
    </row>
    <row r="97" spans="6:6" s="103" customFormat="1" x14ac:dyDescent="0.2">
      <c r="F97" s="104"/>
    </row>
    <row r="98" spans="6:6" s="103" customFormat="1" x14ac:dyDescent="0.2">
      <c r="F98" s="104"/>
    </row>
    <row r="99" spans="6:6" s="103" customFormat="1" x14ac:dyDescent="0.2">
      <c r="F99" s="104"/>
    </row>
    <row r="100" spans="6:6" s="103" customFormat="1" x14ac:dyDescent="0.2">
      <c r="F100" s="104"/>
    </row>
    <row r="101" spans="6:6" s="103" customFormat="1" x14ac:dyDescent="0.2">
      <c r="F101" s="104"/>
    </row>
    <row r="102" spans="6:6" s="103" customFormat="1" x14ac:dyDescent="0.2">
      <c r="F102" s="104"/>
    </row>
    <row r="103" spans="6:6" s="103" customFormat="1" x14ac:dyDescent="0.2">
      <c r="F103" s="104"/>
    </row>
    <row r="104" spans="6:6" s="103" customFormat="1" x14ac:dyDescent="0.2">
      <c r="F104" s="104"/>
    </row>
    <row r="105" spans="6:6" s="103" customFormat="1" x14ac:dyDescent="0.2">
      <c r="F105" s="104"/>
    </row>
    <row r="106" spans="6:6" s="103" customFormat="1" x14ac:dyDescent="0.2">
      <c r="F106" s="104"/>
    </row>
    <row r="107" spans="6:6" s="103" customFormat="1" x14ac:dyDescent="0.2">
      <c r="F107" s="104"/>
    </row>
    <row r="108" spans="6:6" s="103" customFormat="1" x14ac:dyDescent="0.2">
      <c r="F108" s="104"/>
    </row>
    <row r="109" spans="6:6" s="103" customFormat="1" x14ac:dyDescent="0.2">
      <c r="F109" s="104"/>
    </row>
    <row r="110" spans="6:6" s="103" customFormat="1" x14ac:dyDescent="0.2">
      <c r="F110" s="104"/>
    </row>
    <row r="111" spans="6:6" s="103" customFormat="1" x14ac:dyDescent="0.2">
      <c r="F111" s="104"/>
    </row>
    <row r="112" spans="6:6" s="103" customFormat="1" x14ac:dyDescent="0.2">
      <c r="F112" s="104"/>
    </row>
    <row r="113" spans="6:6" s="103" customFormat="1" x14ac:dyDescent="0.2">
      <c r="F113" s="104"/>
    </row>
    <row r="114" spans="6:6" s="103" customFormat="1" x14ac:dyDescent="0.2">
      <c r="F114" s="104"/>
    </row>
    <row r="115" spans="6:6" s="103" customFormat="1" x14ac:dyDescent="0.2">
      <c r="F115" s="104"/>
    </row>
    <row r="116" spans="6:6" s="103" customFormat="1" x14ac:dyDescent="0.2">
      <c r="F116" s="104"/>
    </row>
    <row r="117" spans="6:6" s="103" customFormat="1" x14ac:dyDescent="0.2">
      <c r="F117" s="104"/>
    </row>
  </sheetData>
  <mergeCells count="6">
    <mergeCell ref="G20:H21"/>
    <mergeCell ref="B2:F2"/>
    <mergeCell ref="B4:C4"/>
    <mergeCell ref="D4:F4"/>
    <mergeCell ref="B5:C5"/>
    <mergeCell ref="D5:F5"/>
  </mergeCells>
  <hyperlinks>
    <hyperlink ref="B22" r:id="rId1" location="pageMode=bookmarks" xr:uid="{AAC28DC8-591E-4A0B-9FDE-266AC09B771A}"/>
    <hyperlink ref="B11" r:id="rId2" location="pageMode=bookmarks" xr:uid="{BEBDB19A-3916-49B5-AAD0-64CE1FF17008}"/>
  </hyperlinks>
  <pageMargins left="0.7" right="0.7" top="0.78740157499999996" bottom="0.78740157499999996"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0241" r:id="rId5" name="Drop Down 1">
              <controlPr defaultSize="0" autoLine="0" autoPict="0">
                <anchor moveWithCells="1" sizeWithCells="1">
                  <from>
                    <xdr:col>5</xdr:col>
                    <xdr:colOff>9525</xdr:colOff>
                    <xdr:row>11</xdr:row>
                    <xdr:rowOff>9525</xdr:rowOff>
                  </from>
                  <to>
                    <xdr:col>5</xdr:col>
                    <xdr:colOff>1200150</xdr:colOff>
                    <xdr:row>11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66101-F9AC-4BD5-9881-4A66B194CA67}">
  <dimension ref="A1:F43"/>
  <sheetViews>
    <sheetView workbookViewId="0">
      <selection activeCell="U39" sqref="U39"/>
    </sheetView>
  </sheetViews>
  <sheetFormatPr baseColWidth="10" defaultColWidth="9.140625" defaultRowHeight="12.75" x14ac:dyDescent="0.2"/>
  <cols>
    <col min="1" max="1" width="18.42578125" customWidth="1"/>
    <col min="2" max="2" width="21.5703125" customWidth="1"/>
    <col min="3" max="3" width="21" customWidth="1"/>
    <col min="6" max="6" width="16.140625" customWidth="1"/>
    <col min="257" max="257" width="18.42578125" customWidth="1"/>
    <col min="258" max="258" width="21.5703125" customWidth="1"/>
    <col min="259" max="259" width="21" customWidth="1"/>
    <col min="262" max="262" width="16.140625" customWidth="1"/>
    <col min="513" max="513" width="18.42578125" customWidth="1"/>
    <col min="514" max="514" width="21.5703125" customWidth="1"/>
    <col min="515" max="515" width="21" customWidth="1"/>
    <col min="518" max="518" width="16.140625" customWidth="1"/>
    <col min="769" max="769" width="18.42578125" customWidth="1"/>
    <col min="770" max="770" width="21.5703125" customWidth="1"/>
    <col min="771" max="771" width="21" customWidth="1"/>
    <col min="774" max="774" width="16.140625" customWidth="1"/>
    <col min="1025" max="1025" width="18.42578125" customWidth="1"/>
    <col min="1026" max="1026" width="21.5703125" customWidth="1"/>
    <col min="1027" max="1027" width="21" customWidth="1"/>
    <col min="1030" max="1030" width="16.140625" customWidth="1"/>
    <col min="1281" max="1281" width="18.42578125" customWidth="1"/>
    <col min="1282" max="1282" width="21.5703125" customWidth="1"/>
    <col min="1283" max="1283" width="21" customWidth="1"/>
    <col min="1286" max="1286" width="16.140625" customWidth="1"/>
    <col min="1537" max="1537" width="18.42578125" customWidth="1"/>
    <col min="1538" max="1538" width="21.5703125" customWidth="1"/>
    <col min="1539" max="1539" width="21" customWidth="1"/>
    <col min="1542" max="1542" width="16.140625" customWidth="1"/>
    <col min="1793" max="1793" width="18.42578125" customWidth="1"/>
    <col min="1794" max="1794" width="21.5703125" customWidth="1"/>
    <col min="1795" max="1795" width="21" customWidth="1"/>
    <col min="1798" max="1798" width="16.140625" customWidth="1"/>
    <col min="2049" max="2049" width="18.42578125" customWidth="1"/>
    <col min="2050" max="2050" width="21.5703125" customWidth="1"/>
    <col min="2051" max="2051" width="21" customWidth="1"/>
    <col min="2054" max="2054" width="16.140625" customWidth="1"/>
    <col min="2305" max="2305" width="18.42578125" customWidth="1"/>
    <col min="2306" max="2306" width="21.5703125" customWidth="1"/>
    <col min="2307" max="2307" width="21" customWidth="1"/>
    <col min="2310" max="2310" width="16.140625" customWidth="1"/>
    <col min="2561" max="2561" width="18.42578125" customWidth="1"/>
    <col min="2562" max="2562" width="21.5703125" customWidth="1"/>
    <col min="2563" max="2563" width="21" customWidth="1"/>
    <col min="2566" max="2566" width="16.140625" customWidth="1"/>
    <col min="2817" max="2817" width="18.42578125" customWidth="1"/>
    <col min="2818" max="2818" width="21.5703125" customWidth="1"/>
    <col min="2819" max="2819" width="21" customWidth="1"/>
    <col min="2822" max="2822" width="16.140625" customWidth="1"/>
    <col min="3073" max="3073" width="18.42578125" customWidth="1"/>
    <col min="3074" max="3074" width="21.5703125" customWidth="1"/>
    <col min="3075" max="3075" width="21" customWidth="1"/>
    <col min="3078" max="3078" width="16.140625" customWidth="1"/>
    <col min="3329" max="3329" width="18.42578125" customWidth="1"/>
    <col min="3330" max="3330" width="21.5703125" customWidth="1"/>
    <col min="3331" max="3331" width="21" customWidth="1"/>
    <col min="3334" max="3334" width="16.140625" customWidth="1"/>
    <col min="3585" max="3585" width="18.42578125" customWidth="1"/>
    <col min="3586" max="3586" width="21.5703125" customWidth="1"/>
    <col min="3587" max="3587" width="21" customWidth="1"/>
    <col min="3590" max="3590" width="16.140625" customWidth="1"/>
    <col min="3841" max="3841" width="18.42578125" customWidth="1"/>
    <col min="3842" max="3842" width="21.5703125" customWidth="1"/>
    <col min="3843" max="3843" width="21" customWidth="1"/>
    <col min="3846" max="3846" width="16.140625" customWidth="1"/>
    <col min="4097" max="4097" width="18.42578125" customWidth="1"/>
    <col min="4098" max="4098" width="21.5703125" customWidth="1"/>
    <col min="4099" max="4099" width="21" customWidth="1"/>
    <col min="4102" max="4102" width="16.140625" customWidth="1"/>
    <col min="4353" max="4353" width="18.42578125" customWidth="1"/>
    <col min="4354" max="4354" width="21.5703125" customWidth="1"/>
    <col min="4355" max="4355" width="21" customWidth="1"/>
    <col min="4358" max="4358" width="16.140625" customWidth="1"/>
    <col min="4609" max="4609" width="18.42578125" customWidth="1"/>
    <col min="4610" max="4610" width="21.5703125" customWidth="1"/>
    <col min="4611" max="4611" width="21" customWidth="1"/>
    <col min="4614" max="4614" width="16.140625" customWidth="1"/>
    <col min="4865" max="4865" width="18.42578125" customWidth="1"/>
    <col min="4866" max="4866" width="21.5703125" customWidth="1"/>
    <col min="4867" max="4867" width="21" customWidth="1"/>
    <col min="4870" max="4870" width="16.140625" customWidth="1"/>
    <col min="5121" max="5121" width="18.42578125" customWidth="1"/>
    <col min="5122" max="5122" width="21.5703125" customWidth="1"/>
    <col min="5123" max="5123" width="21" customWidth="1"/>
    <col min="5126" max="5126" width="16.140625" customWidth="1"/>
    <col min="5377" max="5377" width="18.42578125" customWidth="1"/>
    <col min="5378" max="5378" width="21.5703125" customWidth="1"/>
    <col min="5379" max="5379" width="21" customWidth="1"/>
    <col min="5382" max="5382" width="16.140625" customWidth="1"/>
    <col min="5633" max="5633" width="18.42578125" customWidth="1"/>
    <col min="5634" max="5634" width="21.5703125" customWidth="1"/>
    <col min="5635" max="5635" width="21" customWidth="1"/>
    <col min="5638" max="5638" width="16.140625" customWidth="1"/>
    <col min="5889" max="5889" width="18.42578125" customWidth="1"/>
    <col min="5890" max="5890" width="21.5703125" customWidth="1"/>
    <col min="5891" max="5891" width="21" customWidth="1"/>
    <col min="5894" max="5894" width="16.140625" customWidth="1"/>
    <col min="6145" max="6145" width="18.42578125" customWidth="1"/>
    <col min="6146" max="6146" width="21.5703125" customWidth="1"/>
    <col min="6147" max="6147" width="21" customWidth="1"/>
    <col min="6150" max="6150" width="16.140625" customWidth="1"/>
    <col min="6401" max="6401" width="18.42578125" customWidth="1"/>
    <col min="6402" max="6402" width="21.5703125" customWidth="1"/>
    <col min="6403" max="6403" width="21" customWidth="1"/>
    <col min="6406" max="6406" width="16.140625" customWidth="1"/>
    <col min="6657" max="6657" width="18.42578125" customWidth="1"/>
    <col min="6658" max="6658" width="21.5703125" customWidth="1"/>
    <col min="6659" max="6659" width="21" customWidth="1"/>
    <col min="6662" max="6662" width="16.140625" customWidth="1"/>
    <col min="6913" max="6913" width="18.42578125" customWidth="1"/>
    <col min="6914" max="6914" width="21.5703125" customWidth="1"/>
    <col min="6915" max="6915" width="21" customWidth="1"/>
    <col min="6918" max="6918" width="16.140625" customWidth="1"/>
    <col min="7169" max="7169" width="18.42578125" customWidth="1"/>
    <col min="7170" max="7170" width="21.5703125" customWidth="1"/>
    <col min="7171" max="7171" width="21" customWidth="1"/>
    <col min="7174" max="7174" width="16.140625" customWidth="1"/>
    <col min="7425" max="7425" width="18.42578125" customWidth="1"/>
    <col min="7426" max="7426" width="21.5703125" customWidth="1"/>
    <col min="7427" max="7427" width="21" customWidth="1"/>
    <col min="7430" max="7430" width="16.140625" customWidth="1"/>
    <col min="7681" max="7681" width="18.42578125" customWidth="1"/>
    <col min="7682" max="7682" width="21.5703125" customWidth="1"/>
    <col min="7683" max="7683" width="21" customWidth="1"/>
    <col min="7686" max="7686" width="16.140625" customWidth="1"/>
    <col min="7937" max="7937" width="18.42578125" customWidth="1"/>
    <col min="7938" max="7938" width="21.5703125" customWidth="1"/>
    <col min="7939" max="7939" width="21" customWidth="1"/>
    <col min="7942" max="7942" width="16.140625" customWidth="1"/>
    <col min="8193" max="8193" width="18.42578125" customWidth="1"/>
    <col min="8194" max="8194" width="21.5703125" customWidth="1"/>
    <col min="8195" max="8195" width="21" customWidth="1"/>
    <col min="8198" max="8198" width="16.140625" customWidth="1"/>
    <col min="8449" max="8449" width="18.42578125" customWidth="1"/>
    <col min="8450" max="8450" width="21.5703125" customWidth="1"/>
    <col min="8451" max="8451" width="21" customWidth="1"/>
    <col min="8454" max="8454" width="16.140625" customWidth="1"/>
    <col min="8705" max="8705" width="18.42578125" customWidth="1"/>
    <col min="8706" max="8706" width="21.5703125" customWidth="1"/>
    <col min="8707" max="8707" width="21" customWidth="1"/>
    <col min="8710" max="8710" width="16.140625" customWidth="1"/>
    <col min="8961" max="8961" width="18.42578125" customWidth="1"/>
    <col min="8962" max="8962" width="21.5703125" customWidth="1"/>
    <col min="8963" max="8963" width="21" customWidth="1"/>
    <col min="8966" max="8966" width="16.140625" customWidth="1"/>
    <col min="9217" max="9217" width="18.42578125" customWidth="1"/>
    <col min="9218" max="9218" width="21.5703125" customWidth="1"/>
    <col min="9219" max="9219" width="21" customWidth="1"/>
    <col min="9222" max="9222" width="16.140625" customWidth="1"/>
    <col min="9473" max="9473" width="18.42578125" customWidth="1"/>
    <col min="9474" max="9474" width="21.5703125" customWidth="1"/>
    <col min="9475" max="9475" width="21" customWidth="1"/>
    <col min="9478" max="9478" width="16.140625" customWidth="1"/>
    <col min="9729" max="9729" width="18.42578125" customWidth="1"/>
    <col min="9730" max="9730" width="21.5703125" customWidth="1"/>
    <col min="9731" max="9731" width="21" customWidth="1"/>
    <col min="9734" max="9734" width="16.140625" customWidth="1"/>
    <col min="9985" max="9985" width="18.42578125" customWidth="1"/>
    <col min="9986" max="9986" width="21.5703125" customWidth="1"/>
    <col min="9987" max="9987" width="21" customWidth="1"/>
    <col min="9990" max="9990" width="16.140625" customWidth="1"/>
    <col min="10241" max="10241" width="18.42578125" customWidth="1"/>
    <col min="10242" max="10242" width="21.5703125" customWidth="1"/>
    <col min="10243" max="10243" width="21" customWidth="1"/>
    <col min="10246" max="10246" width="16.140625" customWidth="1"/>
    <col min="10497" max="10497" width="18.42578125" customWidth="1"/>
    <col min="10498" max="10498" width="21.5703125" customWidth="1"/>
    <col min="10499" max="10499" width="21" customWidth="1"/>
    <col min="10502" max="10502" width="16.140625" customWidth="1"/>
    <col min="10753" max="10753" width="18.42578125" customWidth="1"/>
    <col min="10754" max="10754" width="21.5703125" customWidth="1"/>
    <col min="10755" max="10755" width="21" customWidth="1"/>
    <col min="10758" max="10758" width="16.140625" customWidth="1"/>
    <col min="11009" max="11009" width="18.42578125" customWidth="1"/>
    <col min="11010" max="11010" width="21.5703125" customWidth="1"/>
    <col min="11011" max="11011" width="21" customWidth="1"/>
    <col min="11014" max="11014" width="16.140625" customWidth="1"/>
    <col min="11265" max="11265" width="18.42578125" customWidth="1"/>
    <col min="11266" max="11266" width="21.5703125" customWidth="1"/>
    <col min="11267" max="11267" width="21" customWidth="1"/>
    <col min="11270" max="11270" width="16.140625" customWidth="1"/>
    <col min="11521" max="11521" width="18.42578125" customWidth="1"/>
    <col min="11522" max="11522" width="21.5703125" customWidth="1"/>
    <col min="11523" max="11523" width="21" customWidth="1"/>
    <col min="11526" max="11526" width="16.140625" customWidth="1"/>
    <col min="11777" max="11777" width="18.42578125" customWidth="1"/>
    <col min="11778" max="11778" width="21.5703125" customWidth="1"/>
    <col min="11779" max="11779" width="21" customWidth="1"/>
    <col min="11782" max="11782" width="16.140625" customWidth="1"/>
    <col min="12033" max="12033" width="18.42578125" customWidth="1"/>
    <col min="12034" max="12034" width="21.5703125" customWidth="1"/>
    <col min="12035" max="12035" width="21" customWidth="1"/>
    <col min="12038" max="12038" width="16.140625" customWidth="1"/>
    <col min="12289" max="12289" width="18.42578125" customWidth="1"/>
    <col min="12290" max="12290" width="21.5703125" customWidth="1"/>
    <col min="12291" max="12291" width="21" customWidth="1"/>
    <col min="12294" max="12294" width="16.140625" customWidth="1"/>
    <col min="12545" max="12545" width="18.42578125" customWidth="1"/>
    <col min="12546" max="12546" width="21.5703125" customWidth="1"/>
    <col min="12547" max="12547" width="21" customWidth="1"/>
    <col min="12550" max="12550" width="16.140625" customWidth="1"/>
    <col min="12801" max="12801" width="18.42578125" customWidth="1"/>
    <col min="12802" max="12802" width="21.5703125" customWidth="1"/>
    <col min="12803" max="12803" width="21" customWidth="1"/>
    <col min="12806" max="12806" width="16.140625" customWidth="1"/>
    <col min="13057" max="13057" width="18.42578125" customWidth="1"/>
    <col min="13058" max="13058" width="21.5703125" customWidth="1"/>
    <col min="13059" max="13059" width="21" customWidth="1"/>
    <col min="13062" max="13062" width="16.140625" customWidth="1"/>
    <col min="13313" max="13313" width="18.42578125" customWidth="1"/>
    <col min="13314" max="13314" width="21.5703125" customWidth="1"/>
    <col min="13315" max="13315" width="21" customWidth="1"/>
    <col min="13318" max="13318" width="16.140625" customWidth="1"/>
    <col min="13569" max="13569" width="18.42578125" customWidth="1"/>
    <col min="13570" max="13570" width="21.5703125" customWidth="1"/>
    <col min="13571" max="13571" width="21" customWidth="1"/>
    <col min="13574" max="13574" width="16.140625" customWidth="1"/>
    <col min="13825" max="13825" width="18.42578125" customWidth="1"/>
    <col min="13826" max="13826" width="21.5703125" customWidth="1"/>
    <col min="13827" max="13827" width="21" customWidth="1"/>
    <col min="13830" max="13830" width="16.140625" customWidth="1"/>
    <col min="14081" max="14081" width="18.42578125" customWidth="1"/>
    <col min="14082" max="14082" width="21.5703125" customWidth="1"/>
    <col min="14083" max="14083" width="21" customWidth="1"/>
    <col min="14086" max="14086" width="16.140625" customWidth="1"/>
    <col min="14337" max="14337" width="18.42578125" customWidth="1"/>
    <col min="14338" max="14338" width="21.5703125" customWidth="1"/>
    <col min="14339" max="14339" width="21" customWidth="1"/>
    <col min="14342" max="14342" width="16.140625" customWidth="1"/>
    <col min="14593" max="14593" width="18.42578125" customWidth="1"/>
    <col min="14594" max="14594" width="21.5703125" customWidth="1"/>
    <col min="14595" max="14595" width="21" customWidth="1"/>
    <col min="14598" max="14598" width="16.140625" customWidth="1"/>
    <col min="14849" max="14849" width="18.42578125" customWidth="1"/>
    <col min="14850" max="14850" width="21.5703125" customWidth="1"/>
    <col min="14851" max="14851" width="21" customWidth="1"/>
    <col min="14854" max="14854" width="16.140625" customWidth="1"/>
    <col min="15105" max="15105" width="18.42578125" customWidth="1"/>
    <col min="15106" max="15106" width="21.5703125" customWidth="1"/>
    <col min="15107" max="15107" width="21" customWidth="1"/>
    <col min="15110" max="15110" width="16.140625" customWidth="1"/>
    <col min="15361" max="15361" width="18.42578125" customWidth="1"/>
    <col min="15362" max="15362" width="21.5703125" customWidth="1"/>
    <col min="15363" max="15363" width="21" customWidth="1"/>
    <col min="15366" max="15366" width="16.140625" customWidth="1"/>
    <col min="15617" max="15617" width="18.42578125" customWidth="1"/>
    <col min="15618" max="15618" width="21.5703125" customWidth="1"/>
    <col min="15619" max="15619" width="21" customWidth="1"/>
    <col min="15622" max="15622" width="16.140625" customWidth="1"/>
    <col min="15873" max="15873" width="18.42578125" customWidth="1"/>
    <col min="15874" max="15874" width="21.5703125" customWidth="1"/>
    <col min="15875" max="15875" width="21" customWidth="1"/>
    <col min="15878" max="15878" width="16.140625" customWidth="1"/>
    <col min="16129" max="16129" width="18.42578125" customWidth="1"/>
    <col min="16130" max="16130" width="21.5703125" customWidth="1"/>
    <col min="16131" max="16131" width="21" customWidth="1"/>
    <col min="16134" max="16134" width="16.140625" customWidth="1"/>
  </cols>
  <sheetData>
    <row r="1" spans="1:6" ht="12.75" customHeight="1" x14ac:dyDescent="0.2">
      <c r="B1" s="184" t="s">
        <v>214</v>
      </c>
      <c r="C1" s="143" t="s">
        <v>215</v>
      </c>
      <c r="D1" s="185" t="s">
        <v>216</v>
      </c>
      <c r="E1" s="185"/>
      <c r="F1" s="185"/>
    </row>
    <row r="2" spans="1:6" ht="15" x14ac:dyDescent="0.25">
      <c r="A2" s="86" t="s">
        <v>217</v>
      </c>
      <c r="B2" s="184"/>
      <c r="C2" s="144" t="s">
        <v>218</v>
      </c>
      <c r="D2" s="145" t="s">
        <v>219</v>
      </c>
      <c r="E2" s="145" t="s">
        <v>220</v>
      </c>
      <c r="F2" s="145" t="s">
        <v>221</v>
      </c>
    </row>
    <row r="3" spans="1:6" x14ac:dyDescent="0.2">
      <c r="B3">
        <v>0</v>
      </c>
      <c r="C3" s="46">
        <v>23.613</v>
      </c>
      <c r="D3" s="46">
        <v>1.8439999999999999</v>
      </c>
      <c r="E3">
        <v>93</v>
      </c>
      <c r="F3" s="46">
        <v>1.0999999999999999E-2</v>
      </c>
    </row>
    <row r="4" spans="1:6" x14ac:dyDescent="0.2">
      <c r="B4">
        <v>2014</v>
      </c>
      <c r="C4" s="46">
        <v>23.725000000000001</v>
      </c>
      <c r="D4" s="46">
        <v>1.8380000000000001</v>
      </c>
      <c r="E4">
        <v>93</v>
      </c>
      <c r="F4" s="46">
        <v>1.0999999999999999E-2</v>
      </c>
    </row>
    <row r="5" spans="1:6" x14ac:dyDescent="0.2">
      <c r="B5">
        <v>2015</v>
      </c>
      <c r="C5" s="46">
        <v>23.838000000000001</v>
      </c>
      <c r="D5" s="46">
        <v>1.8320000000000003</v>
      </c>
      <c r="E5">
        <v>93</v>
      </c>
      <c r="F5" s="46">
        <v>1.2E-2</v>
      </c>
    </row>
    <row r="6" spans="1:6" x14ac:dyDescent="0.2">
      <c r="B6">
        <v>2016</v>
      </c>
      <c r="C6" s="46">
        <v>23.95</v>
      </c>
      <c r="D6" s="46">
        <v>1.8250000000000002</v>
      </c>
      <c r="E6">
        <v>93</v>
      </c>
      <c r="F6" s="46">
        <v>1.2E-2</v>
      </c>
    </row>
    <row r="7" spans="1:6" x14ac:dyDescent="0.2">
      <c r="B7">
        <v>2017</v>
      </c>
      <c r="C7" s="46">
        <v>24.062999999999999</v>
      </c>
      <c r="D7" s="46">
        <v>1.819</v>
      </c>
      <c r="E7">
        <v>93</v>
      </c>
      <c r="F7" s="46">
        <v>1.2E-2</v>
      </c>
    </row>
    <row r="8" spans="1:6" x14ac:dyDescent="0.2">
      <c r="B8">
        <v>2018</v>
      </c>
      <c r="C8" s="46">
        <v>24.175000000000001</v>
      </c>
      <c r="D8" s="46">
        <v>1.8130000000000002</v>
      </c>
      <c r="E8">
        <v>94</v>
      </c>
      <c r="F8" s="46">
        <v>1.3000000000000001E-2</v>
      </c>
    </row>
    <row r="9" spans="1:6" x14ac:dyDescent="0.2">
      <c r="B9">
        <v>2019</v>
      </c>
      <c r="C9" s="46">
        <v>24.288</v>
      </c>
      <c r="D9" s="46">
        <v>1.8069999999999999</v>
      </c>
      <c r="E9">
        <v>94</v>
      </c>
      <c r="F9" s="46">
        <v>1.3000000000000001E-2</v>
      </c>
    </row>
    <row r="10" spans="1:6" x14ac:dyDescent="0.2">
      <c r="B10">
        <v>2020</v>
      </c>
      <c r="C10" s="46">
        <v>24.4</v>
      </c>
      <c r="D10" s="46">
        <v>1.8</v>
      </c>
      <c r="E10">
        <v>94</v>
      </c>
      <c r="F10" s="46">
        <v>1.3000000000000001E-2</v>
      </c>
    </row>
    <row r="11" spans="1:6" x14ac:dyDescent="0.2">
      <c r="B11">
        <v>2021</v>
      </c>
      <c r="C11" s="46">
        <v>24.513000000000002</v>
      </c>
      <c r="D11" s="46">
        <v>1.794</v>
      </c>
      <c r="E11">
        <v>94</v>
      </c>
      <c r="F11" s="46">
        <v>1.4E-2</v>
      </c>
    </row>
    <row r="12" spans="1:6" x14ac:dyDescent="0.2">
      <c r="B12">
        <v>2022</v>
      </c>
      <c r="C12" s="46">
        <v>24.625</v>
      </c>
      <c r="D12" s="46">
        <v>1.788</v>
      </c>
      <c r="E12">
        <v>94</v>
      </c>
      <c r="F12" s="46">
        <v>1.4E-2</v>
      </c>
    </row>
    <row r="13" spans="1:6" x14ac:dyDescent="0.2">
      <c r="B13">
        <v>2023</v>
      </c>
      <c r="C13" s="46">
        <v>24.738</v>
      </c>
      <c r="D13" s="46">
        <v>1.782</v>
      </c>
      <c r="E13">
        <v>94</v>
      </c>
      <c r="F13" s="46">
        <v>1.4999999999999999E-2</v>
      </c>
    </row>
    <row r="14" spans="1:6" x14ac:dyDescent="0.2">
      <c r="B14">
        <v>2024</v>
      </c>
      <c r="C14" s="46">
        <v>24.85</v>
      </c>
      <c r="D14" s="46">
        <v>1.7749999999999999</v>
      </c>
      <c r="E14">
        <v>95</v>
      </c>
      <c r="F14" s="46">
        <v>1.5000000000000001E-2</v>
      </c>
    </row>
    <row r="15" spans="1:6" x14ac:dyDescent="0.2">
      <c r="B15">
        <v>2025</v>
      </c>
      <c r="C15" s="46">
        <v>24.963000000000001</v>
      </c>
      <c r="D15" s="46">
        <v>1.7690000000000001</v>
      </c>
      <c r="E15">
        <v>95</v>
      </c>
      <c r="F15" s="46">
        <v>1.4999999999999999E-2</v>
      </c>
    </row>
    <row r="16" spans="1:6" x14ac:dyDescent="0.2">
      <c r="B16">
        <v>2026</v>
      </c>
      <c r="C16" s="46">
        <v>25.074999999999999</v>
      </c>
      <c r="D16" s="46">
        <v>1.7629999999999999</v>
      </c>
      <c r="E16">
        <v>95</v>
      </c>
      <c r="F16" s="46">
        <v>1.6E-2</v>
      </c>
    </row>
    <row r="17" spans="2:6" x14ac:dyDescent="0.2">
      <c r="B17">
        <v>2027</v>
      </c>
      <c r="C17" s="46">
        <v>25.187999999999999</v>
      </c>
      <c r="D17" s="46">
        <v>1.7570000000000001</v>
      </c>
      <c r="E17">
        <v>95</v>
      </c>
      <c r="F17" s="46">
        <v>1.6E-2</v>
      </c>
    </row>
    <row r="18" spans="2:6" x14ac:dyDescent="0.2">
      <c r="B18">
        <v>2028</v>
      </c>
      <c r="C18" s="46">
        <v>25.3</v>
      </c>
      <c r="D18" s="46">
        <v>1.75</v>
      </c>
      <c r="E18">
        <v>95</v>
      </c>
      <c r="F18" s="46">
        <v>1.6E-2</v>
      </c>
    </row>
    <row r="19" spans="2:6" x14ac:dyDescent="0.2">
      <c r="B19">
        <v>2029</v>
      </c>
      <c r="C19" s="46">
        <v>25.413</v>
      </c>
      <c r="D19" s="46">
        <v>1.744</v>
      </c>
      <c r="E19">
        <v>95</v>
      </c>
      <c r="F19" s="46">
        <v>1.7000000000000001E-2</v>
      </c>
    </row>
    <row r="20" spans="2:6" x14ac:dyDescent="0.2">
      <c r="B20">
        <v>2030</v>
      </c>
      <c r="C20" s="46">
        <v>25.524999999999999</v>
      </c>
      <c r="D20" s="46">
        <v>1.738</v>
      </c>
      <c r="E20">
        <v>96</v>
      </c>
      <c r="F20" s="46">
        <v>1.7000000000000001E-2</v>
      </c>
    </row>
    <row r="21" spans="2:6" x14ac:dyDescent="0.2">
      <c r="B21">
        <v>2031</v>
      </c>
      <c r="C21" s="46">
        <v>25.638000000000002</v>
      </c>
      <c r="D21" s="46">
        <v>1.732</v>
      </c>
      <c r="E21">
        <v>96</v>
      </c>
      <c r="F21" s="46">
        <v>1.8000000000000002E-2</v>
      </c>
    </row>
    <row r="22" spans="2:6" x14ac:dyDescent="0.2">
      <c r="B22">
        <v>2032</v>
      </c>
      <c r="C22" s="46">
        <v>25.75</v>
      </c>
      <c r="D22" s="46">
        <v>1.7250000000000001</v>
      </c>
      <c r="E22">
        <v>96</v>
      </c>
      <c r="F22" s="46">
        <v>1.8000000000000002E-2</v>
      </c>
    </row>
    <row r="23" spans="2:6" x14ac:dyDescent="0.2">
      <c r="B23">
        <v>2033</v>
      </c>
      <c r="C23" s="46">
        <v>25.863</v>
      </c>
      <c r="D23" s="46">
        <v>1.7189999999999999</v>
      </c>
      <c r="E23">
        <v>96</v>
      </c>
      <c r="F23" s="46">
        <v>1.8000000000000002E-2</v>
      </c>
    </row>
    <row r="24" spans="2:6" x14ac:dyDescent="0.2">
      <c r="B24">
        <v>2034</v>
      </c>
      <c r="C24" s="46">
        <v>25.975000000000001</v>
      </c>
      <c r="D24" s="46">
        <v>1.7130000000000001</v>
      </c>
      <c r="E24">
        <v>96</v>
      </c>
      <c r="F24" s="46">
        <v>1.9E-2</v>
      </c>
    </row>
    <row r="25" spans="2:6" x14ac:dyDescent="0.2">
      <c r="B25">
        <v>2035</v>
      </c>
      <c r="C25" s="46">
        <v>26.088000000000001</v>
      </c>
      <c r="D25" s="46">
        <v>1.7069999999999999</v>
      </c>
      <c r="E25">
        <v>97</v>
      </c>
      <c r="F25" s="46">
        <v>1.9E-2</v>
      </c>
    </row>
    <row r="26" spans="2:6" x14ac:dyDescent="0.2">
      <c r="B26">
        <v>2036</v>
      </c>
      <c r="C26" s="46">
        <v>26.2</v>
      </c>
      <c r="D26" s="46">
        <v>1.7000000000000002</v>
      </c>
      <c r="E26">
        <v>97</v>
      </c>
      <c r="F26" s="46">
        <v>1.9E-2</v>
      </c>
    </row>
    <row r="27" spans="2:6" x14ac:dyDescent="0.2">
      <c r="B27">
        <v>2037</v>
      </c>
      <c r="C27" s="46">
        <v>26.312999999999999</v>
      </c>
      <c r="D27" s="46">
        <v>1.694</v>
      </c>
      <c r="E27">
        <v>97</v>
      </c>
      <c r="F27" s="46">
        <v>0.02</v>
      </c>
    </row>
    <row r="28" spans="2:6" x14ac:dyDescent="0.2">
      <c r="B28">
        <v>2038</v>
      </c>
      <c r="C28" s="46">
        <v>26.425000000000001</v>
      </c>
      <c r="D28" s="46">
        <v>1.6880000000000002</v>
      </c>
      <c r="E28">
        <v>97</v>
      </c>
      <c r="F28" s="46">
        <v>0.02</v>
      </c>
    </row>
    <row r="29" spans="2:6" x14ac:dyDescent="0.2">
      <c r="B29">
        <v>2039</v>
      </c>
      <c r="C29" s="46">
        <v>26.538</v>
      </c>
      <c r="D29" s="46">
        <v>1.6819999999999999</v>
      </c>
      <c r="E29">
        <v>97</v>
      </c>
      <c r="F29" s="46">
        <v>2.1000000000000001E-2</v>
      </c>
    </row>
    <row r="30" spans="2:6" x14ac:dyDescent="0.2">
      <c r="B30">
        <v>2040</v>
      </c>
      <c r="C30" s="46">
        <v>26.65</v>
      </c>
      <c r="D30" s="46">
        <v>1.675</v>
      </c>
      <c r="E30">
        <v>97</v>
      </c>
      <c r="F30" s="46">
        <v>2.1000000000000001E-2</v>
      </c>
    </row>
    <row r="31" spans="2:6" x14ac:dyDescent="0.2">
      <c r="B31">
        <v>2041</v>
      </c>
      <c r="C31" s="46">
        <v>26.763000000000002</v>
      </c>
      <c r="D31" s="46">
        <v>1.669</v>
      </c>
      <c r="E31">
        <v>98</v>
      </c>
      <c r="F31" s="46">
        <v>2.1000000000000001E-2</v>
      </c>
    </row>
    <row r="32" spans="2:6" x14ac:dyDescent="0.2">
      <c r="B32">
        <v>2042</v>
      </c>
      <c r="C32" s="46">
        <v>26.875</v>
      </c>
      <c r="D32" s="46">
        <v>1.663</v>
      </c>
      <c r="E32">
        <v>98</v>
      </c>
      <c r="F32" s="46">
        <v>2.1999999999999999E-2</v>
      </c>
    </row>
    <row r="33" spans="2:6" x14ac:dyDescent="0.2">
      <c r="B33">
        <v>2043</v>
      </c>
      <c r="C33" s="46">
        <v>26.988</v>
      </c>
      <c r="D33" s="46">
        <v>1.657</v>
      </c>
      <c r="E33">
        <v>98</v>
      </c>
      <c r="F33" s="46">
        <v>2.1999999999999999E-2</v>
      </c>
    </row>
    <row r="34" spans="2:6" x14ac:dyDescent="0.2">
      <c r="B34">
        <v>2044</v>
      </c>
      <c r="C34" s="46">
        <v>27.1</v>
      </c>
      <c r="D34" s="46">
        <v>1.65</v>
      </c>
      <c r="E34">
        <v>98</v>
      </c>
      <c r="F34" s="46">
        <v>2.1999999999999999E-2</v>
      </c>
    </row>
    <row r="35" spans="2:6" x14ac:dyDescent="0.2">
      <c r="B35">
        <v>2045</v>
      </c>
      <c r="C35" s="46">
        <v>27.213000000000001</v>
      </c>
      <c r="D35" s="46">
        <v>1.6440000000000001</v>
      </c>
      <c r="E35">
        <v>98</v>
      </c>
      <c r="F35" s="46">
        <v>2.3E-2</v>
      </c>
    </row>
    <row r="36" spans="2:6" x14ac:dyDescent="0.2">
      <c r="B36">
        <v>2046</v>
      </c>
      <c r="C36" s="46">
        <v>27.324999999999999</v>
      </c>
      <c r="D36" s="46">
        <v>1.6379999999999999</v>
      </c>
      <c r="E36">
        <v>98</v>
      </c>
      <c r="F36" s="46">
        <v>2.3E-2</v>
      </c>
    </row>
    <row r="37" spans="2:6" x14ac:dyDescent="0.2">
      <c r="B37">
        <v>2047</v>
      </c>
      <c r="C37" s="46">
        <v>27.437999999999999</v>
      </c>
      <c r="D37" s="46">
        <v>1.6320000000000001</v>
      </c>
      <c r="E37">
        <v>99</v>
      </c>
      <c r="F37" s="46">
        <v>2.4E-2</v>
      </c>
    </row>
    <row r="38" spans="2:6" x14ac:dyDescent="0.2">
      <c r="B38">
        <v>2048</v>
      </c>
      <c r="C38" s="46">
        <v>27.55</v>
      </c>
      <c r="D38" s="46">
        <v>1.625</v>
      </c>
      <c r="E38">
        <v>99</v>
      </c>
      <c r="F38" s="46">
        <v>2.4E-2</v>
      </c>
    </row>
    <row r="39" spans="2:6" x14ac:dyDescent="0.2">
      <c r="B39">
        <v>2049</v>
      </c>
      <c r="C39" s="46">
        <v>27.663</v>
      </c>
      <c r="D39" s="46">
        <v>1.619</v>
      </c>
      <c r="E39">
        <v>99</v>
      </c>
      <c r="F39" s="46">
        <v>2.4E-2</v>
      </c>
    </row>
    <row r="40" spans="2:6" x14ac:dyDescent="0.2">
      <c r="B40">
        <v>2050</v>
      </c>
      <c r="C40" s="46">
        <v>27.774999999999999</v>
      </c>
      <c r="D40" s="46">
        <v>1.613</v>
      </c>
      <c r="E40">
        <v>99</v>
      </c>
      <c r="F40" s="46">
        <v>2.5000000000000001E-2</v>
      </c>
    </row>
    <row r="41" spans="2:6" x14ac:dyDescent="0.2">
      <c r="B41">
        <v>2051</v>
      </c>
      <c r="C41" s="46">
        <v>27.888000000000002</v>
      </c>
      <c r="D41" s="46">
        <v>1.607</v>
      </c>
      <c r="E41">
        <v>99</v>
      </c>
      <c r="F41" s="46">
        <v>2.5000000000000001E-2</v>
      </c>
    </row>
    <row r="42" spans="2:6" x14ac:dyDescent="0.2">
      <c r="B42">
        <v>2052</v>
      </c>
      <c r="C42" s="46">
        <v>28</v>
      </c>
      <c r="D42" s="46">
        <v>1.6</v>
      </c>
      <c r="E42">
        <v>100</v>
      </c>
      <c r="F42" s="46">
        <v>2.5000000000000001E-2</v>
      </c>
    </row>
    <row r="43" spans="2:6" x14ac:dyDescent="0.2">
      <c r="B43">
        <v>12</v>
      </c>
    </row>
  </sheetData>
  <mergeCells count="2">
    <mergeCell ref="B1:B2"/>
    <mergeCell ref="D1:F1"/>
  </mergeCells>
  <hyperlinks>
    <hyperlink ref="A2" r:id="rId1" location="pageMode=bookmarks" xr:uid="{62C52407-6BB4-4D95-A865-A3C467CBCAAF}"/>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1"/>
  <sheetViews>
    <sheetView workbookViewId="0"/>
  </sheetViews>
  <sheetFormatPr baseColWidth="10" defaultColWidth="10.28515625" defaultRowHeight="12.75" x14ac:dyDescent="0.2"/>
  <cols>
    <col min="1" max="1" width="9.140625" style="1" customWidth="1"/>
    <col min="2" max="2" width="32.28515625" customWidth="1"/>
    <col min="3" max="3" width="9.7109375" customWidth="1"/>
    <col min="5" max="5" width="11.85546875" customWidth="1"/>
    <col min="7" max="7" width="15.85546875" customWidth="1"/>
    <col min="8" max="8" width="8.42578125" customWidth="1"/>
    <col min="9" max="9" width="153.42578125" style="62" customWidth="1"/>
    <col min="11" max="11" width="16.140625" customWidth="1"/>
    <col min="12" max="12" width="21.7109375" customWidth="1"/>
    <col min="13" max="13" width="17.28515625" customWidth="1"/>
    <col min="14" max="14" width="18.5703125" customWidth="1"/>
    <col min="15" max="15" width="14.42578125" customWidth="1"/>
    <col min="16" max="16" width="12.140625" customWidth="1"/>
    <col min="17" max="17" width="17.85546875" customWidth="1"/>
    <col min="19" max="19" width="11" customWidth="1"/>
    <col min="21" max="21" width="12" customWidth="1"/>
    <col min="42" max="42" width="43.7109375" style="1" customWidth="1"/>
    <col min="44" max="44" width="19.140625" customWidth="1"/>
    <col min="51" max="51" width="0" hidden="1" customWidth="1"/>
  </cols>
  <sheetData>
    <row r="1" spans="1:42" ht="16.5" customHeight="1" x14ac:dyDescent="0.2">
      <c r="A1" s="63"/>
      <c r="B1" s="186" t="s">
        <v>125</v>
      </c>
      <c r="C1" s="186"/>
      <c r="D1" s="186"/>
      <c r="E1" s="186"/>
      <c r="F1" s="186"/>
      <c r="G1" s="64"/>
      <c r="H1" s="64"/>
      <c r="I1" s="61"/>
      <c r="AP1"/>
    </row>
    <row r="2" spans="1:42" ht="16.5" customHeight="1" thickBot="1" x14ac:dyDescent="0.25">
      <c r="A2" s="187"/>
      <c r="B2" s="66"/>
      <c r="C2" s="67"/>
      <c r="D2" s="66"/>
      <c r="E2" s="64" t="s">
        <v>0</v>
      </c>
      <c r="F2" s="65">
        <f>Start!I34/100</f>
        <v>9.4443000000000001</v>
      </c>
      <c r="G2" s="64"/>
      <c r="H2" s="64"/>
      <c r="I2" s="61"/>
      <c r="AP2"/>
    </row>
    <row r="3" spans="1:42" ht="14.25" thickTop="1" thickBot="1" x14ac:dyDescent="0.25">
      <c r="A3" s="188"/>
      <c r="B3" s="64" t="s">
        <v>1</v>
      </c>
      <c r="C3">
        <v>467</v>
      </c>
      <c r="D3" s="66"/>
      <c r="E3" s="64" t="s">
        <v>2</v>
      </c>
      <c r="F3" s="74">
        <f>G4*F2</f>
        <v>22.830020885190002</v>
      </c>
      <c r="G3" s="64"/>
      <c r="H3" s="64"/>
      <c r="I3" s="61"/>
      <c r="AP3"/>
    </row>
    <row r="4" spans="1:42" ht="14.25" thickTop="1" thickBot="1" x14ac:dyDescent="0.25">
      <c r="A4" s="188"/>
      <c r="B4" s="66"/>
      <c r="C4" s="67"/>
      <c r="D4" s="66"/>
      <c r="E4" s="64" t="s">
        <v>3</v>
      </c>
      <c r="F4" s="64"/>
      <c r="G4" s="62">
        <f>2.4173333</f>
        <v>2.4173333000000001</v>
      </c>
      <c r="H4" s="64"/>
      <c r="I4" s="61"/>
      <c r="AP4"/>
    </row>
    <row r="5" spans="1:42" ht="17.25" customHeight="1" thickTop="1" thickBot="1" x14ac:dyDescent="0.25">
      <c r="A5" s="188"/>
      <c r="B5" s="64" t="s">
        <v>141</v>
      </c>
      <c r="C5">
        <v>2</v>
      </c>
      <c r="D5" s="64" t="s">
        <v>142</v>
      </c>
      <c r="E5" s="64"/>
      <c r="F5">
        <v>0</v>
      </c>
      <c r="G5" s="64"/>
      <c r="H5" s="64"/>
      <c r="I5" s="61"/>
      <c r="AP5"/>
    </row>
    <row r="6" spans="1:42" ht="14.25" thickTop="1" thickBot="1" x14ac:dyDescent="0.25">
      <c r="A6" s="188"/>
      <c r="B6" s="64" t="s">
        <v>4</v>
      </c>
      <c r="C6" s="2">
        <v>7</v>
      </c>
      <c r="D6" s="64" t="s">
        <v>5</v>
      </c>
      <c r="E6" s="64"/>
      <c r="F6" s="64">
        <f>IF(C6&lt;5,0,N25)</f>
        <v>24.75</v>
      </c>
      <c r="G6" s="64"/>
      <c r="H6" s="64"/>
      <c r="I6" s="61"/>
      <c r="K6" s="6"/>
      <c r="AP6"/>
    </row>
    <row r="7" spans="1:42" ht="13.5" thickTop="1" x14ac:dyDescent="0.2">
      <c r="A7" s="188"/>
      <c r="B7" s="66"/>
      <c r="C7" s="67"/>
      <c r="D7" s="66"/>
      <c r="E7" s="64"/>
      <c r="F7" s="64"/>
      <c r="G7" s="64"/>
      <c r="H7" s="64"/>
      <c r="I7" s="61"/>
      <c r="J7" s="7"/>
      <c r="K7" s="9"/>
      <c r="AP7"/>
    </row>
    <row r="8" spans="1:42" x14ac:dyDescent="0.2">
      <c r="A8" s="63"/>
      <c r="B8" s="64" t="s">
        <v>8</v>
      </c>
      <c r="C8" s="10">
        <v>100</v>
      </c>
      <c r="D8" s="64">
        <f>164.35*C8/100</f>
        <v>164.35</v>
      </c>
      <c r="E8" s="189" t="s">
        <v>9</v>
      </c>
      <c r="F8" s="189"/>
      <c r="G8" s="64"/>
      <c r="H8" s="64"/>
      <c r="I8" s="61"/>
      <c r="J8" s="7"/>
      <c r="K8" s="9"/>
      <c r="AP8"/>
    </row>
    <row r="9" spans="1:42" x14ac:dyDescent="0.2">
      <c r="A9" s="63"/>
      <c r="B9" s="68" t="s">
        <v>124</v>
      </c>
      <c r="C9" s="64"/>
      <c r="D9" s="191" t="s">
        <v>6</v>
      </c>
      <c r="E9" s="191"/>
      <c r="F9" s="191"/>
      <c r="G9" s="64"/>
      <c r="H9" s="64"/>
      <c r="I9" s="61"/>
      <c r="J9" s="7"/>
      <c r="K9" s="9"/>
      <c r="AP9"/>
    </row>
    <row r="10" spans="1:42" ht="23.25" customHeight="1" x14ac:dyDescent="0.2">
      <c r="A10" s="11"/>
      <c r="B10" s="12" t="s">
        <v>10</v>
      </c>
      <c r="C10" s="12"/>
      <c r="D10" s="13"/>
      <c r="E10" s="14" t="s">
        <v>11</v>
      </c>
      <c r="F10" s="15" t="s">
        <v>12</v>
      </c>
      <c r="G10" s="14" t="s">
        <v>13</v>
      </c>
      <c r="H10" s="16"/>
      <c r="I10" s="61"/>
      <c r="J10" s="7"/>
      <c r="K10" s="9"/>
      <c r="AP10"/>
    </row>
    <row r="11" spans="1:42" x14ac:dyDescent="0.2">
      <c r="A11" s="17"/>
      <c r="B11" s="17" t="s">
        <v>14</v>
      </c>
      <c r="C11" s="8"/>
      <c r="D11" s="8"/>
      <c r="E11" s="8">
        <f>D8-(SUM(E31:E37))</f>
        <v>164.35</v>
      </c>
      <c r="F11" s="29">
        <f>ROUNDDOWN($C$3*$F$3/164.35,4)</f>
        <v>64.871399999999994</v>
      </c>
      <c r="G11" s="8">
        <f>ROUND(E11*F11,2)</f>
        <v>10661.61</v>
      </c>
      <c r="H11" s="8"/>
      <c r="I11" s="61"/>
      <c r="J11" s="7"/>
      <c r="K11" s="9"/>
      <c r="AP11"/>
    </row>
    <row r="12" spans="1:42" x14ac:dyDescent="0.2">
      <c r="A12" s="17" t="s">
        <v>15</v>
      </c>
      <c r="B12" s="17" t="s">
        <v>16</v>
      </c>
      <c r="C12" s="18"/>
      <c r="D12" s="18"/>
      <c r="E12" s="2">
        <v>0</v>
      </c>
      <c r="F12" s="29">
        <f>ROUND(F13*1.25,4)</f>
        <v>10.0959</v>
      </c>
      <c r="G12" s="8">
        <f>ROUNDDOWN(E12*F12,2)</f>
        <v>0</v>
      </c>
      <c r="H12" s="8"/>
      <c r="I12" s="61"/>
      <c r="J12" s="7"/>
      <c r="K12" s="9"/>
      <c r="AP12"/>
    </row>
    <row r="13" spans="1:42" x14ac:dyDescent="0.2">
      <c r="A13" s="17" t="s">
        <v>17</v>
      </c>
      <c r="B13" s="17" t="s">
        <v>18</v>
      </c>
      <c r="C13" s="18"/>
      <c r="D13" s="18"/>
      <c r="E13" s="2">
        <v>0</v>
      </c>
      <c r="F13" s="29">
        <f>ROUNDDOWN(0.8552*F2,4)</f>
        <v>8.0767000000000007</v>
      </c>
      <c r="G13" s="8">
        <f>ROUNDDOWN(E13*F13,2)</f>
        <v>0</v>
      </c>
      <c r="H13" s="8"/>
      <c r="I13" s="61">
        <f>0.4276*F2</f>
        <v>4.0383826799999998</v>
      </c>
      <c r="J13" s="7"/>
      <c r="K13" s="9"/>
      <c r="AP13"/>
    </row>
    <row r="14" spans="1:42" x14ac:dyDescent="0.2">
      <c r="A14" s="17" t="s">
        <v>19</v>
      </c>
      <c r="B14" s="17" t="s">
        <v>20</v>
      </c>
      <c r="C14" s="18"/>
      <c r="D14" s="18"/>
      <c r="E14" s="2">
        <v>0</v>
      </c>
      <c r="F14" s="29">
        <f>ROUND(F13*0.5,4)</f>
        <v>4.0384000000000002</v>
      </c>
      <c r="G14" s="8">
        <f>ROUNDDOWN(E14*F14,2)</f>
        <v>0</v>
      </c>
      <c r="H14" s="8"/>
      <c r="I14" s="61"/>
      <c r="J14" s="7"/>
      <c r="K14" s="9"/>
      <c r="AP14"/>
    </row>
    <row r="15" spans="1:42" x14ac:dyDescent="0.2">
      <c r="A15" s="17" t="s">
        <v>21</v>
      </c>
      <c r="B15" s="17" t="s">
        <v>22</v>
      </c>
      <c r="C15" s="18"/>
      <c r="D15" s="18"/>
      <c r="E15" s="2"/>
      <c r="F15" s="29">
        <f>ROUND(F13*0.25,4)</f>
        <v>2.0192000000000001</v>
      </c>
      <c r="G15" s="8">
        <f t="shared" ref="G15:G21" si="0">ROUNDDOWN(E15*F15+D15+(C15*$F$3),2)</f>
        <v>0</v>
      </c>
      <c r="H15" s="8"/>
      <c r="I15" s="61"/>
      <c r="J15" s="7"/>
      <c r="K15" s="9"/>
      <c r="AP15"/>
    </row>
    <row r="16" spans="1:42" x14ac:dyDescent="0.2">
      <c r="A16" s="17" t="s">
        <v>23</v>
      </c>
      <c r="B16" s="17" t="s">
        <v>24</v>
      </c>
      <c r="C16" s="19"/>
      <c r="D16" s="20"/>
      <c r="E16" s="21">
        <v>0</v>
      </c>
      <c r="F16" s="29">
        <f>$F$12*0.2</f>
        <v>2.01918</v>
      </c>
      <c r="G16" s="8">
        <f t="shared" si="0"/>
        <v>0</v>
      </c>
      <c r="H16" s="8"/>
      <c r="I16" s="61"/>
      <c r="J16" s="7"/>
      <c r="K16" s="9"/>
      <c r="AP16"/>
    </row>
    <row r="17" spans="1:42" x14ac:dyDescent="0.2">
      <c r="A17" s="17" t="s">
        <v>25</v>
      </c>
      <c r="B17" s="17" t="s">
        <v>26</v>
      </c>
      <c r="C17" s="19"/>
      <c r="D17" s="20"/>
      <c r="E17" s="21">
        <v>0</v>
      </c>
      <c r="F17" s="29">
        <f>$F$12*0.7</f>
        <v>7.0671299999999997</v>
      </c>
      <c r="G17" s="8">
        <f t="shared" si="0"/>
        <v>0</v>
      </c>
      <c r="H17" s="8"/>
      <c r="I17" s="61"/>
      <c r="J17" s="7"/>
      <c r="K17" s="9"/>
      <c r="AP17"/>
    </row>
    <row r="18" spans="1:42" x14ac:dyDescent="0.2">
      <c r="A18" s="17" t="s">
        <v>27</v>
      </c>
      <c r="B18" s="17" t="s">
        <v>28</v>
      </c>
      <c r="C18" s="19"/>
      <c r="D18" s="20"/>
      <c r="E18" s="21"/>
      <c r="F18" s="29">
        <f>$F$12</f>
        <v>10.0959</v>
      </c>
      <c r="G18" s="8">
        <f t="shared" si="0"/>
        <v>0</v>
      </c>
      <c r="H18" s="8"/>
      <c r="I18" s="61"/>
      <c r="J18" s="7"/>
      <c r="K18" s="9"/>
      <c r="AP18"/>
    </row>
    <row r="19" spans="1:42" x14ac:dyDescent="0.2">
      <c r="A19" s="17" t="s">
        <v>29</v>
      </c>
      <c r="B19" s="17" t="s">
        <v>30</v>
      </c>
      <c r="C19" s="18"/>
      <c r="D19" s="18"/>
      <c r="E19" s="2">
        <v>0</v>
      </c>
      <c r="F19" s="29">
        <f>ROUND(F13*0.2,4)</f>
        <v>1.6153</v>
      </c>
      <c r="G19" s="8">
        <f t="shared" si="0"/>
        <v>0</v>
      </c>
      <c r="H19" s="8"/>
      <c r="I19" s="61"/>
      <c r="J19" s="7"/>
      <c r="K19" s="9"/>
      <c r="AP19"/>
    </row>
    <row r="20" spans="1:42" x14ac:dyDescent="0.2">
      <c r="A20" s="17" t="s">
        <v>31</v>
      </c>
      <c r="B20" s="17" t="s">
        <v>32</v>
      </c>
      <c r="C20" s="18"/>
      <c r="D20" s="18"/>
      <c r="E20" s="2">
        <v>0</v>
      </c>
      <c r="F20" s="29">
        <f>ROUND(F13*0.7,4)</f>
        <v>5.6536999999999997</v>
      </c>
      <c r="G20" s="8">
        <f t="shared" si="0"/>
        <v>0</v>
      </c>
      <c r="H20" s="8"/>
      <c r="I20" s="61"/>
      <c r="J20" s="7"/>
      <c r="K20" s="9"/>
      <c r="AP20"/>
    </row>
    <row r="21" spans="1:42" x14ac:dyDescent="0.2">
      <c r="A21" s="17" t="s">
        <v>33</v>
      </c>
      <c r="B21" s="17" t="s">
        <v>34</v>
      </c>
      <c r="C21" s="18"/>
      <c r="D21" s="18"/>
      <c r="E21" s="2"/>
      <c r="F21" s="29">
        <f>ROUND(F13*1,4)</f>
        <v>8.0767000000000007</v>
      </c>
      <c r="G21" s="8">
        <f t="shared" si="0"/>
        <v>0</v>
      </c>
      <c r="H21" s="8"/>
      <c r="I21" s="61"/>
      <c r="J21" s="7"/>
      <c r="K21" s="9"/>
      <c r="AP21"/>
    </row>
    <row r="22" spans="1:42" x14ac:dyDescent="0.2">
      <c r="A22" s="17" t="s">
        <v>35</v>
      </c>
      <c r="B22" s="17" t="s">
        <v>36</v>
      </c>
      <c r="C22" s="19"/>
      <c r="D22" s="20"/>
      <c r="E22" s="21">
        <v>0</v>
      </c>
      <c r="F22" s="29">
        <f>ROUND($F$14*0.2,4)</f>
        <v>0.80769999999999997</v>
      </c>
      <c r="G22" s="8">
        <f>ROUND(E22*F22,2)</f>
        <v>0</v>
      </c>
      <c r="H22" s="8"/>
      <c r="I22" s="61"/>
      <c r="J22" s="7"/>
      <c r="K22" s="9"/>
      <c r="AP22"/>
    </row>
    <row r="23" spans="1:42" x14ac:dyDescent="0.2">
      <c r="A23" s="17" t="s">
        <v>38</v>
      </c>
      <c r="B23" s="17" t="s">
        <v>39</v>
      </c>
      <c r="C23" s="19"/>
      <c r="D23" s="20"/>
      <c r="E23" s="21">
        <v>0</v>
      </c>
      <c r="F23" s="29">
        <f>ROUND($F$14*0.7,4)</f>
        <v>2.8269000000000002</v>
      </c>
      <c r="G23" s="8">
        <f>ROUNDDOWN(E23*F23+D23+(C23*$F$3),2)</f>
        <v>0</v>
      </c>
      <c r="H23" s="8"/>
      <c r="I23" s="61"/>
      <c r="J23" s="7"/>
      <c r="K23" s="9"/>
      <c r="L23" s="3" t="s">
        <v>37</v>
      </c>
      <c r="M23" s="3"/>
      <c r="N23" s="22">
        <v>0</v>
      </c>
      <c r="AP23"/>
    </row>
    <row r="24" spans="1:42" x14ac:dyDescent="0.2">
      <c r="A24" s="17" t="s">
        <v>41</v>
      </c>
      <c r="B24" s="17" t="s">
        <v>42</v>
      </c>
      <c r="C24" s="19"/>
      <c r="D24" s="20"/>
      <c r="E24" s="21">
        <v>0</v>
      </c>
      <c r="F24" s="29">
        <f>ROUND($F$14,4)</f>
        <v>4.0384000000000002</v>
      </c>
      <c r="G24" s="8">
        <f>ROUNDDOWN(E24*F24+D24+(C24*$F$3),2)</f>
        <v>0</v>
      </c>
      <c r="H24" s="8"/>
      <c r="I24" s="61"/>
      <c r="J24" s="7"/>
      <c r="K24" s="9"/>
      <c r="L24" s="3" t="s">
        <v>40</v>
      </c>
      <c r="M24" s="3"/>
      <c r="N24" s="22">
        <v>99</v>
      </c>
      <c r="AP24"/>
    </row>
    <row r="25" spans="1:42" x14ac:dyDescent="0.2">
      <c r="A25" s="17" t="s">
        <v>44</v>
      </c>
      <c r="B25" s="17" t="s">
        <v>45</v>
      </c>
      <c r="C25" s="18"/>
      <c r="D25" s="18"/>
      <c r="E25" s="2">
        <v>0</v>
      </c>
      <c r="F25" s="29">
        <f>ROUND((SUM($G$12:$G$24)+($D$8*$F$11)+$G$40)/$D$8*0.7,4)</f>
        <v>48.229900000000001</v>
      </c>
      <c r="G25" s="8">
        <f t="shared" ref="G25:G30" si="1">ROUND(E25*F25+(C25*$F$3),2)</f>
        <v>0</v>
      </c>
      <c r="H25" s="8"/>
      <c r="I25" s="61"/>
      <c r="J25" s="7"/>
      <c r="K25" s="9"/>
      <c r="L25" s="3" t="s">
        <v>43</v>
      </c>
      <c r="M25" s="3"/>
      <c r="N25" s="3">
        <f>(IF(C6&gt;29,(N23+26*N24),(IF((C6-4)&gt;=0,C6-4,0)*N24+N23)))/12</f>
        <v>24.75</v>
      </c>
      <c r="AP25"/>
    </row>
    <row r="26" spans="1:42" x14ac:dyDescent="0.2">
      <c r="A26" s="17" t="s">
        <v>46</v>
      </c>
      <c r="B26" s="17" t="s">
        <v>47</v>
      </c>
      <c r="C26" s="18"/>
      <c r="D26" s="18"/>
      <c r="E26" s="2"/>
      <c r="F26" s="29">
        <f>ROUND((SUM($G$12:$G$24)+($D$8*$F$11)+$G$40)/$D$8,4)</f>
        <v>68.899799999999999</v>
      </c>
      <c r="G26" s="8">
        <f t="shared" si="1"/>
        <v>0</v>
      </c>
      <c r="H26" s="8"/>
      <c r="I26" s="61"/>
      <c r="J26" s="7"/>
      <c r="K26" s="7"/>
      <c r="L26" s="3"/>
      <c r="M26" s="3"/>
      <c r="N26" s="3"/>
      <c r="AP26"/>
    </row>
    <row r="27" spans="1:42" x14ac:dyDescent="0.2">
      <c r="A27" s="17" t="s">
        <v>48</v>
      </c>
      <c r="B27" s="17" t="s">
        <v>49</v>
      </c>
      <c r="C27" s="18"/>
      <c r="D27" s="18"/>
      <c r="E27" s="2">
        <v>0</v>
      </c>
      <c r="F27" s="29">
        <f>ROUND((SUM($G$12:$G$24)+($D$8*$F$11)+$G$40)/$D$8*0.2,4)</f>
        <v>13.78</v>
      </c>
      <c r="G27" s="8">
        <f t="shared" si="1"/>
        <v>0</v>
      </c>
      <c r="H27" s="8"/>
      <c r="I27" s="61"/>
      <c r="J27" s="7"/>
      <c r="K27" s="9"/>
      <c r="L27" s="3"/>
      <c r="M27" s="3"/>
      <c r="N27" s="3"/>
      <c r="AP27"/>
    </row>
    <row r="28" spans="1:42" x14ac:dyDescent="0.2">
      <c r="A28" s="17" t="s">
        <v>50</v>
      </c>
      <c r="B28" s="17" t="s">
        <v>51</v>
      </c>
      <c r="C28" s="18"/>
      <c r="D28" s="18"/>
      <c r="E28" s="2"/>
      <c r="F28" s="29">
        <f>ROUND((SUM($G$12:$G$24)+($D$8*$F$11)+$G$40)/$D$8*0.7,4)</f>
        <v>48.229900000000001</v>
      </c>
      <c r="G28" s="8">
        <f t="shared" si="1"/>
        <v>0</v>
      </c>
      <c r="H28" s="8"/>
      <c r="I28" s="61"/>
      <c r="J28" s="7"/>
      <c r="K28" s="7"/>
      <c r="L28" s="3"/>
      <c r="M28" s="3"/>
      <c r="N28" s="3"/>
      <c r="AP28"/>
    </row>
    <row r="29" spans="1:42" x14ac:dyDescent="0.2">
      <c r="A29" s="17" t="s">
        <v>52</v>
      </c>
      <c r="B29" s="17" t="s">
        <v>53</v>
      </c>
      <c r="C29" s="18"/>
      <c r="D29" s="18"/>
      <c r="E29" s="2">
        <v>0</v>
      </c>
      <c r="F29" s="29">
        <f>ROUND((SUM($G$12:$G$24)+($D$8*$F$11)+$G$40)/$D$8,4)</f>
        <v>68.899799999999999</v>
      </c>
      <c r="G29" s="8">
        <f t="shared" si="1"/>
        <v>0</v>
      </c>
      <c r="H29" s="8"/>
      <c r="I29" s="61"/>
      <c r="J29" s="7"/>
      <c r="K29" s="7"/>
      <c r="AP29"/>
    </row>
    <row r="30" spans="1:42" x14ac:dyDescent="0.2">
      <c r="A30" s="17" t="s">
        <v>54</v>
      </c>
      <c r="B30" s="17" t="s">
        <v>55</v>
      </c>
      <c r="C30" s="18"/>
      <c r="D30" s="18"/>
      <c r="E30" s="2">
        <v>3</v>
      </c>
      <c r="F30" s="29">
        <f>ROUND((SUM($G$12:$G$24)+($D$8*$F$11)+$G$40)/$D$8*0.2,4)</f>
        <v>13.78</v>
      </c>
      <c r="G30" s="8">
        <f t="shared" si="1"/>
        <v>41.34</v>
      </c>
      <c r="H30" s="8"/>
      <c r="I30" s="61"/>
      <c r="AP30"/>
    </row>
    <row r="31" spans="1:42" x14ac:dyDescent="0.2">
      <c r="A31" s="17" t="s">
        <v>56</v>
      </c>
      <c r="B31" s="8" t="s">
        <v>57</v>
      </c>
      <c r="C31" s="18"/>
      <c r="D31" s="18"/>
      <c r="E31" s="2">
        <v>0</v>
      </c>
      <c r="F31" s="29">
        <f>$F$11</f>
        <v>64.871399999999994</v>
      </c>
      <c r="G31" s="8">
        <f>ROUND(E31*F31+D31+(C31*$F$3),2)</f>
        <v>0</v>
      </c>
      <c r="H31" s="8"/>
      <c r="I31" s="61"/>
      <c r="AP31"/>
    </row>
    <row r="32" spans="1:42" x14ac:dyDescent="0.2">
      <c r="A32" s="17" t="s">
        <v>58</v>
      </c>
      <c r="B32" s="8" t="s">
        <v>59</v>
      </c>
      <c r="C32" s="18"/>
      <c r="D32" s="18"/>
      <c r="E32" s="2">
        <v>0</v>
      </c>
      <c r="F32" s="29">
        <f>$F$11</f>
        <v>64.871399999999994</v>
      </c>
      <c r="G32" s="8">
        <f>ROUND(E32*F32+D32+(C32*$F$3),2)</f>
        <v>0</v>
      </c>
      <c r="H32" s="8"/>
      <c r="I32" s="61"/>
      <c r="AP32"/>
    </row>
    <row r="33" spans="1:42" x14ac:dyDescent="0.2">
      <c r="A33" s="17" t="s">
        <v>60</v>
      </c>
      <c r="B33" s="17" t="s">
        <v>61</v>
      </c>
      <c r="C33" s="18"/>
      <c r="D33" s="18"/>
      <c r="E33" s="2">
        <v>0</v>
      </c>
      <c r="F33" s="29">
        <f>$F$11</f>
        <v>64.871399999999994</v>
      </c>
      <c r="G33" s="8">
        <f>ROUND(E33*F33,2)</f>
        <v>0</v>
      </c>
      <c r="H33" s="8"/>
      <c r="I33" s="61"/>
      <c r="AP33"/>
    </row>
    <row r="34" spans="1:42" x14ac:dyDescent="0.2">
      <c r="A34" s="17" t="s">
        <v>63</v>
      </c>
      <c r="B34" s="17" t="s">
        <v>64</v>
      </c>
      <c r="C34" s="18"/>
      <c r="D34" s="18"/>
      <c r="E34" s="2"/>
      <c r="F34" s="29">
        <f>$F$11</f>
        <v>64.871399999999994</v>
      </c>
      <c r="G34" s="8">
        <f>ROUND(E34*F34,2)</f>
        <v>0</v>
      </c>
      <c r="H34" s="8"/>
      <c r="I34" s="61"/>
      <c r="AP34"/>
    </row>
    <row r="35" spans="1:42" x14ac:dyDescent="0.2">
      <c r="A35" s="17" t="s">
        <v>65</v>
      </c>
      <c r="B35" s="17" t="s">
        <v>66</v>
      </c>
      <c r="C35" s="23" t="s">
        <v>62</v>
      </c>
      <c r="D35" s="24">
        <v>67</v>
      </c>
      <c r="E35" s="2">
        <v>0</v>
      </c>
      <c r="F35" s="29">
        <f>IF(D35=0,ROUND($C$65+(($H$65/35)*25),4),D35)</f>
        <v>67</v>
      </c>
      <c r="G35" s="8">
        <f>ROUND(E35*F35,2)</f>
        <v>0</v>
      </c>
      <c r="H35" s="8"/>
      <c r="I35" s="61"/>
      <c r="AP35"/>
    </row>
    <row r="36" spans="1:42" x14ac:dyDescent="0.2">
      <c r="A36" s="17" t="s">
        <v>67</v>
      </c>
      <c r="B36" s="17" t="s">
        <v>144</v>
      </c>
      <c r="C36" s="18"/>
      <c r="D36" s="18"/>
      <c r="E36" s="2">
        <v>0</v>
      </c>
      <c r="F36" s="29">
        <f>ROUND((SUM($G$12:$G$24)+($D$8*$F$11)+$G$40)/$D$8*1,4)</f>
        <v>68.899799999999999</v>
      </c>
      <c r="G36" s="8">
        <f>ROUND(E36*F36+D36+(C36*$F$3),2)</f>
        <v>0</v>
      </c>
      <c r="H36" s="8"/>
      <c r="I36" s="61"/>
      <c r="AP36"/>
    </row>
    <row r="37" spans="1:42" x14ac:dyDescent="0.2">
      <c r="A37" s="17" t="s">
        <v>67</v>
      </c>
      <c r="B37" s="17" t="s">
        <v>68</v>
      </c>
      <c r="C37" s="18"/>
      <c r="D37" s="18"/>
      <c r="E37" s="2"/>
      <c r="F37" s="29">
        <f>$F$11</f>
        <v>64.871399999999994</v>
      </c>
      <c r="G37" s="8">
        <f>ROUND(E37*F37+D37+(C37*$F$3),2)</f>
        <v>0</v>
      </c>
      <c r="H37" s="8"/>
      <c r="I37" s="61"/>
      <c r="AP37"/>
    </row>
    <row r="38" spans="1:42" x14ac:dyDescent="0.2">
      <c r="A38" s="17" t="s">
        <v>69</v>
      </c>
      <c r="B38" s="17" t="s">
        <v>68</v>
      </c>
      <c r="C38" s="18"/>
      <c r="D38" s="18"/>
      <c r="E38" s="2"/>
      <c r="G38" s="8">
        <f>ROUND(E38*F38+D38+(C38*$F$3),2)</f>
        <v>0</v>
      </c>
      <c r="H38" s="8"/>
      <c r="I38" s="61"/>
      <c r="AP38"/>
    </row>
    <row r="39" spans="1:42" x14ac:dyDescent="0.2">
      <c r="A39" s="17"/>
      <c r="B39" s="25" t="s">
        <v>70</v>
      </c>
      <c r="C39" s="18"/>
      <c r="D39" s="18"/>
      <c r="E39" s="18"/>
      <c r="F39" s="8"/>
      <c r="G39" s="8">
        <f>ROUND(E39*F39+D39+(C39*$F$3),2)</f>
        <v>0</v>
      </c>
      <c r="H39" s="8"/>
      <c r="I39" s="61"/>
      <c r="AP39"/>
    </row>
    <row r="40" spans="1:42" ht="12" customHeight="1" x14ac:dyDescent="0.2">
      <c r="A40" s="17" t="s">
        <v>71</v>
      </c>
      <c r="B40" s="17" t="s">
        <v>72</v>
      </c>
      <c r="C40" s="18">
        <f>IF(C3*8.1%&lt;25,25,(IF(C3*8.1%&gt;29,29,C3*8.1%)))</f>
        <v>29</v>
      </c>
      <c r="D40" s="18" t="s">
        <v>143</v>
      </c>
      <c r="E40" s="19"/>
      <c r="F40">
        <v>1</v>
      </c>
      <c r="G40" s="8">
        <f>IF(F40=1,ROUND((C40*$F$3*C8/100),2),0)</f>
        <v>662.07</v>
      </c>
      <c r="H40" s="8"/>
      <c r="I40" s="61"/>
      <c r="AP40"/>
    </row>
    <row r="41" spans="1:42" ht="12" customHeight="1" x14ac:dyDescent="0.2">
      <c r="A41" s="17"/>
      <c r="B41" s="8" t="s">
        <v>73</v>
      </c>
      <c r="C41" s="2"/>
      <c r="D41" s="18"/>
      <c r="E41" s="27"/>
      <c r="F41" s="17"/>
      <c r="G41" s="8">
        <f>ROUNDDOWN(E41*F41+D41+(C41*$F$3),2)</f>
        <v>0</v>
      </c>
      <c r="H41" s="8"/>
      <c r="I41" s="61"/>
      <c r="AP41"/>
    </row>
    <row r="42" spans="1:42" ht="12" customHeight="1" x14ac:dyDescent="0.2">
      <c r="A42" s="17"/>
      <c r="B42" s="8" t="s">
        <v>74</v>
      </c>
      <c r="C42" s="18"/>
      <c r="D42" s="2">
        <v>0</v>
      </c>
      <c r="E42" s="27"/>
      <c r="F42" s="17"/>
      <c r="G42" s="8">
        <f>ROUNDDOWN(E42*F42+D42+(C42*$F$3),2)</f>
        <v>0</v>
      </c>
      <c r="H42" s="8"/>
      <c r="I42" s="61"/>
      <c r="AP42"/>
    </row>
    <row r="43" spans="1:42" ht="12" customHeight="1" x14ac:dyDescent="0.2">
      <c r="A43" s="17" t="s">
        <v>75</v>
      </c>
      <c r="B43" s="25" t="s">
        <v>76</v>
      </c>
      <c r="C43" s="25"/>
      <c r="D43" s="25"/>
      <c r="E43" s="25"/>
      <c r="F43" s="25"/>
      <c r="G43" s="25">
        <f>SUM(G11:G42)</f>
        <v>11365.02</v>
      </c>
      <c r="H43" s="8"/>
      <c r="I43" s="61"/>
      <c r="AP43"/>
    </row>
    <row r="44" spans="1:42" ht="12" customHeight="1" x14ac:dyDescent="0.2">
      <c r="A44" s="17"/>
      <c r="B44" s="28"/>
      <c r="C44" s="27"/>
      <c r="D44" s="27"/>
      <c r="E44" s="19"/>
      <c r="F44" s="26"/>
      <c r="G44" s="8">
        <f>ROUND(E44*F44+D44+(C44*$F$3),2)</f>
        <v>0</v>
      </c>
      <c r="H44" s="8"/>
      <c r="I44" s="61"/>
      <c r="AP44"/>
    </row>
    <row r="45" spans="1:42" x14ac:dyDescent="0.2">
      <c r="A45" s="17"/>
      <c r="B45" s="28" t="s">
        <v>77</v>
      </c>
      <c r="C45" s="26"/>
      <c r="D45" s="29"/>
      <c r="E45" s="8"/>
      <c r="F45" s="8"/>
      <c r="G45" s="30">
        <f>G46+G47+G48</f>
        <v>1255.8300000000002</v>
      </c>
      <c r="H45" s="8"/>
      <c r="I45" s="61"/>
      <c r="AP45"/>
    </row>
    <row r="46" spans="1:42" x14ac:dyDescent="0.2">
      <c r="A46" s="17"/>
      <c r="B46" s="17" t="s">
        <v>79</v>
      </c>
      <c r="C46" s="26"/>
      <c r="D46" s="29">
        <f>G43</f>
        <v>11365.02</v>
      </c>
      <c r="E46" s="8"/>
      <c r="F46" s="31">
        <v>2.8000000000000001E-2</v>
      </c>
      <c r="G46" s="8">
        <f>ROUND(D46*F46,2)</f>
        <v>318.22000000000003</v>
      </c>
      <c r="H46" s="8"/>
      <c r="I46" s="61"/>
      <c r="AO46" s="5"/>
    </row>
    <row r="47" spans="1:42" x14ac:dyDescent="0.2">
      <c r="A47" s="17" t="s">
        <v>78</v>
      </c>
      <c r="B47" s="17" t="s">
        <v>81</v>
      </c>
      <c r="C47" s="26"/>
      <c r="D47" s="29">
        <f>G43</f>
        <v>11365.02</v>
      </c>
      <c r="E47" s="8"/>
      <c r="F47" s="31">
        <v>2.5000000000000001E-3</v>
      </c>
      <c r="G47" s="8">
        <f>ROUND(D47*F47,2)</f>
        <v>28.41</v>
      </c>
      <c r="H47" s="8"/>
      <c r="I47" s="61"/>
      <c r="AO47" s="5"/>
    </row>
    <row r="48" spans="1:42" x14ac:dyDescent="0.2">
      <c r="A48" s="17" t="s">
        <v>80</v>
      </c>
      <c r="B48" s="17" t="s">
        <v>83</v>
      </c>
      <c r="C48" s="26"/>
      <c r="D48" s="29">
        <f>G43</f>
        <v>11365.02</v>
      </c>
      <c r="E48" s="8"/>
      <c r="F48" s="31">
        <v>0.08</v>
      </c>
      <c r="G48" s="8">
        <f>ROUND(D48*F48,2)</f>
        <v>909.2</v>
      </c>
      <c r="H48" s="8"/>
      <c r="I48" s="61"/>
      <c r="AO48" t="e">
        <f>INDEX(#REF!,#REF!,1,1)</f>
        <v>#REF!</v>
      </c>
    </row>
    <row r="49" spans="1:42" x14ac:dyDescent="0.2">
      <c r="A49" s="17" t="s">
        <v>82</v>
      </c>
      <c r="B49" s="25" t="s">
        <v>85</v>
      </c>
      <c r="C49" s="26"/>
      <c r="D49" s="29"/>
      <c r="E49" s="29">
        <f>ROUNDDOWN(SUM(G11:G42)-D69,2)</f>
        <v>10722.28</v>
      </c>
      <c r="F49" s="32">
        <v>1.4E-2</v>
      </c>
      <c r="G49" s="8">
        <f>ROUND(E49*F49+D49+(C49*$F$3),2)</f>
        <v>150.11000000000001</v>
      </c>
      <c r="H49" s="8"/>
      <c r="I49" s="61"/>
    </row>
    <row r="50" spans="1:42" x14ac:dyDescent="0.2">
      <c r="A50" s="17" t="s">
        <v>84</v>
      </c>
      <c r="B50" s="8" t="s">
        <v>123</v>
      </c>
      <c r="C50" s="26"/>
      <c r="D50" s="18" t="s">
        <v>143</v>
      </c>
      <c r="E50" s="19"/>
      <c r="F50">
        <v>0</v>
      </c>
      <c r="G50" s="8">
        <f>IF(F50=1,460,0)</f>
        <v>0</v>
      </c>
      <c r="H50" s="8"/>
      <c r="I50" s="61"/>
    </row>
    <row r="51" spans="1:42" x14ac:dyDescent="0.2">
      <c r="A51" s="17" t="s">
        <v>122</v>
      </c>
      <c r="B51" s="8" t="s">
        <v>87</v>
      </c>
      <c r="C51" s="26"/>
      <c r="D51" s="29"/>
      <c r="E51" s="29"/>
      <c r="F51" s="32"/>
      <c r="G51" s="8">
        <f>F6</f>
        <v>24.75</v>
      </c>
      <c r="H51" s="8"/>
      <c r="I51" s="61"/>
    </row>
    <row r="52" spans="1:42" x14ac:dyDescent="0.2">
      <c r="A52" s="17" t="s">
        <v>86</v>
      </c>
      <c r="B52" s="17" t="s">
        <v>89</v>
      </c>
      <c r="C52" s="26"/>
      <c r="D52" s="33">
        <f>G43-SUM(G46:G48)-G51-SUM(G25:G27)</f>
        <v>10084.44</v>
      </c>
      <c r="E52" s="8"/>
      <c r="F52" s="8"/>
      <c r="G52" s="34">
        <f>G43-SUM(G46:G48)-G51-SUM(G25:G27)-G50</f>
        <v>10084.44</v>
      </c>
      <c r="H52" s="8"/>
      <c r="I52" s="61"/>
    </row>
    <row r="53" spans="1:42" x14ac:dyDescent="0.2">
      <c r="A53" s="17" t="s">
        <v>88</v>
      </c>
      <c r="B53" s="17" t="s">
        <v>91</v>
      </c>
      <c r="C53" s="8"/>
      <c r="D53" s="8"/>
      <c r="E53" s="8"/>
      <c r="F53" s="8"/>
      <c r="G53" s="34">
        <f>'Steuermodul 2024'!B14</f>
        <v>2122.1999999999998</v>
      </c>
      <c r="H53" s="8"/>
      <c r="I53" s="61"/>
    </row>
    <row r="54" spans="1:42" x14ac:dyDescent="0.2">
      <c r="A54" s="17" t="s">
        <v>90</v>
      </c>
      <c r="B54" s="28" t="s">
        <v>93</v>
      </c>
      <c r="C54" s="36"/>
      <c r="D54" s="36"/>
      <c r="E54" s="36"/>
      <c r="F54" s="37"/>
      <c r="G54" s="38">
        <f>G43-G45-G49-G53</f>
        <v>7836.88</v>
      </c>
      <c r="H54" s="8"/>
      <c r="I54" s="61"/>
      <c r="AL54" s="1"/>
      <c r="AP54"/>
    </row>
    <row r="55" spans="1:42" x14ac:dyDescent="0.2">
      <c r="A55" s="17" t="s">
        <v>92</v>
      </c>
      <c r="B55" s="17" t="s">
        <v>95</v>
      </c>
      <c r="C55" s="39"/>
      <c r="D55" s="39"/>
      <c r="E55" s="39"/>
      <c r="F55" s="39"/>
      <c r="G55" s="35">
        <v>7815</v>
      </c>
      <c r="H55" s="8"/>
      <c r="I55" s="61"/>
      <c r="AL55" s="1"/>
      <c r="AP55"/>
    </row>
    <row r="56" spans="1:42" x14ac:dyDescent="0.2">
      <c r="A56" s="17" t="s">
        <v>94</v>
      </c>
      <c r="B56" s="17" t="s">
        <v>97</v>
      </c>
      <c r="C56" s="39"/>
      <c r="D56" s="39"/>
      <c r="E56" s="39"/>
      <c r="F56" s="39"/>
      <c r="G56" s="34">
        <f>'Credit d impot salaries 2017'!C7</f>
        <v>0</v>
      </c>
      <c r="H56" s="8"/>
      <c r="I56" s="61"/>
      <c r="AL56" s="1"/>
      <c r="AP56"/>
    </row>
    <row r="57" spans="1:42" x14ac:dyDescent="0.2">
      <c r="A57" s="17"/>
      <c r="B57" s="17" t="s">
        <v>166</v>
      </c>
      <c r="C57" s="39"/>
      <c r="D57" s="39"/>
      <c r="E57" s="39"/>
      <c r="F57" s="39"/>
      <c r="G57" s="34">
        <f>'CI-CO2'!B13</f>
        <v>0</v>
      </c>
      <c r="H57" s="8"/>
      <c r="I57" s="61"/>
      <c r="AL57" s="1"/>
      <c r="AP57"/>
    </row>
    <row r="58" spans="1:42" x14ac:dyDescent="0.2">
      <c r="A58" s="17"/>
      <c r="B58" s="17" t="s">
        <v>165</v>
      </c>
      <c r="C58" s="39"/>
      <c r="D58" s="39"/>
      <c r="E58" s="39"/>
      <c r="F58" s="39"/>
      <c r="G58" s="34">
        <v>0</v>
      </c>
      <c r="H58" s="8"/>
      <c r="I58" s="61"/>
      <c r="AL58" s="1"/>
      <c r="AP58"/>
    </row>
    <row r="59" spans="1:42" x14ac:dyDescent="0.2">
      <c r="A59" s="17" t="s">
        <v>96</v>
      </c>
      <c r="B59" s="17" t="s">
        <v>99</v>
      </c>
      <c r="C59" s="27"/>
      <c r="D59" s="18" t="s">
        <v>143</v>
      </c>
      <c r="E59" s="19"/>
      <c r="F59">
        <v>0</v>
      </c>
      <c r="G59" s="8">
        <f>IF(F59=1,31,0)</f>
        <v>0</v>
      </c>
      <c r="H59" s="8"/>
      <c r="I59" s="61"/>
      <c r="AL59" s="1"/>
      <c r="AP59"/>
    </row>
    <row r="60" spans="1:42" x14ac:dyDescent="0.2">
      <c r="A60" s="17" t="s">
        <v>98</v>
      </c>
      <c r="B60" s="8" t="s">
        <v>100</v>
      </c>
      <c r="C60" s="8"/>
      <c r="D60" s="8"/>
      <c r="E60" s="26"/>
      <c r="F60" s="26"/>
      <c r="G60" s="34">
        <f>G54-G55+G56-G59+G58</f>
        <v>21.880000000000109</v>
      </c>
      <c r="H60" s="8"/>
      <c r="I60" s="61"/>
      <c r="AL60" s="1"/>
      <c r="AP60"/>
    </row>
    <row r="61" spans="1:42" x14ac:dyDescent="0.2">
      <c r="A61" s="17"/>
      <c r="B61" s="190" t="s">
        <v>128</v>
      </c>
      <c r="C61" s="190"/>
      <c r="D61" s="190"/>
      <c r="E61" s="190"/>
      <c r="F61" s="3"/>
      <c r="G61" s="75"/>
      <c r="H61" s="76"/>
      <c r="I61" s="61"/>
    </row>
    <row r="62" spans="1:42" ht="12.75" customHeight="1" x14ac:dyDescent="0.2">
      <c r="A62" s="17"/>
      <c r="B62" s="3" t="s">
        <v>101</v>
      </c>
      <c r="C62" s="77" t="s">
        <v>129</v>
      </c>
      <c r="D62" s="77" t="s">
        <v>130</v>
      </c>
      <c r="E62" s="77" t="s">
        <v>131</v>
      </c>
      <c r="F62" s="77" t="s">
        <v>132</v>
      </c>
      <c r="G62" s="77" t="s">
        <v>133</v>
      </c>
      <c r="H62" s="77" t="s">
        <v>134</v>
      </c>
      <c r="I62" s="61"/>
    </row>
    <row r="63" spans="1:42" ht="12.75" customHeight="1" x14ac:dyDescent="0.2">
      <c r="A63" s="17"/>
      <c r="B63" s="3" t="s">
        <v>102</v>
      </c>
      <c r="C63" s="79">
        <v>0</v>
      </c>
      <c r="D63" s="79">
        <v>0</v>
      </c>
      <c r="E63" s="80">
        <v>0</v>
      </c>
      <c r="F63" s="77">
        <f>ROUND((SUM(C63:E63))/($D$8*($C$8/100)*$F$2),4)</f>
        <v>0</v>
      </c>
      <c r="G63" s="77"/>
      <c r="H63" s="77"/>
      <c r="I63" s="61"/>
    </row>
    <row r="64" spans="1:42" x14ac:dyDescent="0.2">
      <c r="A64" s="17"/>
      <c r="B64" s="3" t="s">
        <v>103</v>
      </c>
      <c r="C64" s="80">
        <v>0</v>
      </c>
      <c r="D64" s="80">
        <v>0</v>
      </c>
      <c r="E64" s="80">
        <v>0</v>
      </c>
      <c r="F64" s="77">
        <f>ROUND((SUM(C64:E64))/($D$8*($C$8/100)*$F$2),4)</f>
        <v>0</v>
      </c>
      <c r="G64" s="77">
        <f>F63</f>
        <v>0</v>
      </c>
      <c r="H64" s="77">
        <f>ROUND(G64*F2,4)</f>
        <v>0</v>
      </c>
      <c r="I64" s="61"/>
    </row>
    <row r="65" spans="1:9" x14ac:dyDescent="0.2">
      <c r="A65" s="17"/>
      <c r="B65" s="40" t="s">
        <v>104</v>
      </c>
      <c r="C65" s="80">
        <v>0</v>
      </c>
      <c r="D65" s="80">
        <v>0</v>
      </c>
      <c r="E65" s="80">
        <v>0</v>
      </c>
      <c r="F65" s="77">
        <f>ROUND((SUM(C65:E65))/($D$8*($C$8/100)*$F$2),4)</f>
        <v>0</v>
      </c>
      <c r="G65" s="77">
        <f>ROUND(SUM(F63:F64)/2,4)</f>
        <v>0</v>
      </c>
      <c r="H65" s="77">
        <f>ROUND(G65*F2,4)</f>
        <v>0</v>
      </c>
      <c r="I65" s="61"/>
    </row>
    <row r="66" spans="1:9" x14ac:dyDescent="0.2">
      <c r="A66" s="17"/>
      <c r="B66" s="77" t="s">
        <v>135</v>
      </c>
      <c r="C66" s="77">
        <f>F11</f>
        <v>64.871399999999994</v>
      </c>
      <c r="D66" s="77"/>
      <c r="E66" s="77"/>
      <c r="F66" s="77"/>
      <c r="G66" s="77">
        <f>ROUND(SUM(F63:F65)/3,4)</f>
        <v>0</v>
      </c>
      <c r="H66" s="77">
        <f>ROUND(G66*F2,4)</f>
        <v>0</v>
      </c>
      <c r="I66" s="61"/>
    </row>
    <row r="67" spans="1:9" x14ac:dyDescent="0.2">
      <c r="A67" s="17"/>
      <c r="B67" s="3" t="s">
        <v>105</v>
      </c>
      <c r="C67" s="78">
        <f>ROUND($C$66+(($H$66/35)*25),4)</f>
        <v>64.871399999999994</v>
      </c>
      <c r="D67" s="77"/>
      <c r="E67" s="77"/>
      <c r="F67" s="3"/>
      <c r="G67" s="3"/>
      <c r="H67" s="3"/>
      <c r="I67" s="61"/>
    </row>
    <row r="68" spans="1:9" ht="13.5" customHeight="1" x14ac:dyDescent="0.2">
      <c r="A68" s="17"/>
      <c r="B68" s="8" t="s">
        <v>106</v>
      </c>
      <c r="C68" s="39">
        <f>Start!I35</f>
        <v>272.22000000000003</v>
      </c>
      <c r="D68" s="8" t="s">
        <v>145</v>
      </c>
      <c r="E68" s="8"/>
      <c r="F68" s="8"/>
      <c r="G68" s="8"/>
      <c r="H68" s="8"/>
      <c r="I68" s="61"/>
    </row>
    <row r="69" spans="1:9" ht="14.25" customHeight="1" x14ac:dyDescent="0.2">
      <c r="A69" s="17"/>
      <c r="B69" s="8" t="s">
        <v>107</v>
      </c>
      <c r="C69" s="39">
        <f>C68*F2</f>
        <v>2570.9273460000004</v>
      </c>
      <c r="D69" s="8">
        <f>IF(D8&gt;=160,C69/4,0)</f>
        <v>642.7318365000001</v>
      </c>
      <c r="E69" s="8"/>
      <c r="F69" s="8"/>
      <c r="G69" s="8"/>
      <c r="H69" s="8"/>
      <c r="I69" s="61"/>
    </row>
    <row r="70" spans="1:9" ht="14.25" customHeight="1" x14ac:dyDescent="0.2">
      <c r="A70" s="17"/>
      <c r="B70" s="70"/>
      <c r="C70" s="71"/>
      <c r="D70" s="71"/>
      <c r="E70" s="71"/>
      <c r="F70" s="71"/>
      <c r="G70" s="71"/>
      <c r="H70" s="71"/>
      <c r="I70" s="61"/>
    </row>
    <row r="71" spans="1:9" ht="276" customHeight="1" x14ac:dyDescent="0.2">
      <c r="A71" s="69"/>
      <c r="B71" s="4"/>
      <c r="C71" s="4"/>
      <c r="D71" s="4"/>
      <c r="E71" s="4"/>
      <c r="F71" s="4"/>
      <c r="G71" s="4"/>
      <c r="H71" s="4"/>
      <c r="I71" s="61"/>
    </row>
    <row r="72" spans="1:9" ht="32.25" customHeight="1" x14ac:dyDescent="0.2">
      <c r="A72" s="41"/>
      <c r="I72" s="61"/>
    </row>
    <row r="73" spans="1:9" ht="45.75" customHeight="1" x14ac:dyDescent="0.2">
      <c r="I73" s="61"/>
    </row>
    <row r="74" spans="1:9" x14ac:dyDescent="0.2">
      <c r="B74" s="1"/>
    </row>
    <row r="76" spans="1:9" x14ac:dyDescent="0.2">
      <c r="A76" s="72"/>
    </row>
    <row r="77" spans="1:9" x14ac:dyDescent="0.2">
      <c r="A77" s="72"/>
    </row>
    <row r="78" spans="1:9" x14ac:dyDescent="0.2">
      <c r="A78" s="72"/>
    </row>
    <row r="79" spans="1:9" x14ac:dyDescent="0.2">
      <c r="A79" s="72"/>
    </row>
    <row r="80" spans="1:9" x14ac:dyDescent="0.2">
      <c r="A80" s="72"/>
    </row>
    <row r="81" spans="1:1" x14ac:dyDescent="0.2">
      <c r="A81" s="72"/>
    </row>
    <row r="82" spans="1:1" x14ac:dyDescent="0.2">
      <c r="A82" s="72"/>
    </row>
    <row r="83" spans="1:1" x14ac:dyDescent="0.2">
      <c r="A83" s="72"/>
    </row>
    <row r="84" spans="1:1" x14ac:dyDescent="0.2">
      <c r="A84" s="72"/>
    </row>
    <row r="85" spans="1:1" x14ac:dyDescent="0.2">
      <c r="A85" s="72"/>
    </row>
    <row r="86" spans="1:1" x14ac:dyDescent="0.2">
      <c r="A86" s="72"/>
    </row>
    <row r="87" spans="1:1" x14ac:dyDescent="0.2">
      <c r="A87" s="72"/>
    </row>
    <row r="88" spans="1:1" x14ac:dyDescent="0.2">
      <c r="A88" s="72"/>
    </row>
    <row r="89" spans="1:1" x14ac:dyDescent="0.2">
      <c r="A89" s="72"/>
    </row>
    <row r="90" spans="1:1" x14ac:dyDescent="0.2">
      <c r="A90" s="72"/>
    </row>
    <row r="91" spans="1:1" x14ac:dyDescent="0.2">
      <c r="A91" s="72"/>
    </row>
  </sheetData>
  <sheetProtection selectLockedCells="1" selectUnlockedCells="1"/>
  <mergeCells count="5">
    <mergeCell ref="B1:F1"/>
    <mergeCell ref="A2:A7"/>
    <mergeCell ref="E8:F8"/>
    <mergeCell ref="B61:E61"/>
    <mergeCell ref="D9:F9"/>
  </mergeCells>
  <hyperlinks>
    <hyperlink ref="D9" r:id="rId1" xr:uid="{00000000-0004-0000-0000-000000000000}"/>
  </hyperlinks>
  <pageMargins left="3.937007874015748E-2" right="3.937007874015748E-2" top="0" bottom="0.19685039370078741" header="0.51181102362204722" footer="0.19685039370078741"/>
  <pageSetup paperSize="9" firstPageNumber="0" orientation="portrait" horizontalDpi="300" verticalDpi="300" r:id="rId2"/>
  <headerFooter alignWithMargins="0">
    <oddFooter>&amp;LSans Garantie!&amp;RCopyrights: Fränk Siebenaller</oddFooter>
  </headerFooter>
  <ignoredErrors>
    <ignoredError sqref="C40 C68:C69" unlockedFormula="1"/>
    <ignoredError sqref="F35" formula="1"/>
  </ignoredError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46"/>
  <sheetViews>
    <sheetView workbookViewId="0">
      <selection activeCell="C29" sqref="C29"/>
    </sheetView>
  </sheetViews>
  <sheetFormatPr baseColWidth="10" defaultColWidth="9.140625" defaultRowHeight="12.75" x14ac:dyDescent="0.2"/>
  <cols>
    <col min="1" max="1" width="2.85546875" customWidth="1"/>
    <col min="2" max="2" width="11.85546875" customWidth="1"/>
    <col min="3" max="3" width="18.5703125" customWidth="1"/>
    <col min="4" max="4" width="10.42578125" bestFit="1" customWidth="1"/>
    <col min="5" max="5" width="4.42578125" customWidth="1"/>
    <col min="6" max="6" width="9.42578125" bestFit="1" customWidth="1"/>
    <col min="7" max="7" width="12.5703125" customWidth="1"/>
    <col min="8" max="8" width="5" style="43" customWidth="1"/>
    <col min="9" max="9" width="4.5703125" style="44" customWidth="1"/>
    <col min="10" max="10" width="12.5703125" style="45" bestFit="1" customWidth="1"/>
    <col min="11" max="11" width="3.42578125" customWidth="1"/>
    <col min="12" max="12" width="9.42578125" bestFit="1" customWidth="1"/>
    <col min="13" max="13" width="12" bestFit="1" customWidth="1"/>
    <col min="14" max="14" width="6.42578125" style="46" customWidth="1"/>
    <col min="15" max="15" width="5.5703125" customWidth="1"/>
    <col min="16" max="16" width="10.5703125" style="45" bestFit="1" customWidth="1"/>
    <col min="17" max="17" width="4.28515625" customWidth="1"/>
    <col min="18" max="18" width="9.42578125" bestFit="1" customWidth="1"/>
    <col min="19" max="19" width="12.42578125" customWidth="1"/>
    <col min="20" max="20" width="5" style="43" customWidth="1"/>
    <col min="21" max="21" width="6" customWidth="1"/>
    <col min="22" max="22" width="10" style="45" bestFit="1" customWidth="1"/>
  </cols>
  <sheetData>
    <row r="2" spans="1:22" ht="15" x14ac:dyDescent="0.25">
      <c r="B2" s="1"/>
      <c r="F2" s="42" t="s">
        <v>108</v>
      </c>
      <c r="L2" s="42" t="s">
        <v>109</v>
      </c>
      <c r="R2" s="42" t="s">
        <v>110</v>
      </c>
    </row>
    <row r="3" spans="1:22" ht="15" x14ac:dyDescent="0.25">
      <c r="B3" s="192" t="s">
        <v>223</v>
      </c>
      <c r="C3" s="47">
        <f>'Bulletin de salaire'!G52</f>
        <v>10084.44</v>
      </c>
      <c r="F3" s="194" t="s">
        <v>111</v>
      </c>
      <c r="G3" s="194"/>
      <c r="H3" s="193" t="s">
        <v>112</v>
      </c>
      <c r="I3" s="193"/>
      <c r="J3" s="193"/>
      <c r="L3" s="194" t="s">
        <v>111</v>
      </c>
      <c r="M3" s="194"/>
      <c r="N3" s="193" t="s">
        <v>112</v>
      </c>
      <c r="O3" s="193"/>
      <c r="P3" s="193"/>
      <c r="R3" s="194" t="s">
        <v>111</v>
      </c>
      <c r="S3" s="194"/>
      <c r="T3" s="193" t="s">
        <v>112</v>
      </c>
      <c r="U3" s="193"/>
      <c r="V3" s="193"/>
    </row>
    <row r="4" spans="1:22" x14ac:dyDescent="0.2">
      <c r="B4" s="192"/>
      <c r="C4">
        <f>(ROUNDDOWN(C3*0.2,0))/0.2</f>
        <v>10080</v>
      </c>
      <c r="E4" s="48">
        <v>1</v>
      </c>
      <c r="F4">
        <v>0</v>
      </c>
      <c r="G4" s="49">
        <v>1120</v>
      </c>
      <c r="H4" s="43">
        <v>0</v>
      </c>
      <c r="I4" s="44" t="s">
        <v>113</v>
      </c>
      <c r="J4" s="45">
        <v>0</v>
      </c>
      <c r="L4">
        <v>0</v>
      </c>
      <c r="M4" s="49">
        <v>2155</v>
      </c>
      <c r="N4" s="46">
        <v>0</v>
      </c>
      <c r="O4" s="44" t="s">
        <v>113</v>
      </c>
      <c r="P4" s="45">
        <v>0</v>
      </c>
      <c r="R4">
        <v>0</v>
      </c>
      <c r="S4" s="49">
        <v>2155</v>
      </c>
      <c r="T4" s="43">
        <v>0</v>
      </c>
      <c r="U4" s="44" t="s">
        <v>113</v>
      </c>
      <c r="V4" s="45">
        <v>0</v>
      </c>
    </row>
    <row r="5" spans="1:22" ht="15" x14ac:dyDescent="0.25">
      <c r="A5" s="50"/>
      <c r="B5">
        <v>3</v>
      </c>
      <c r="C5" s="51" t="s">
        <v>114</v>
      </c>
      <c r="E5" s="48">
        <v>2</v>
      </c>
      <c r="F5" s="49">
        <v>1125</v>
      </c>
      <c r="G5" s="49">
        <v>1290</v>
      </c>
      <c r="H5" s="43">
        <v>0.08</v>
      </c>
      <c r="I5" s="44" t="s">
        <v>113</v>
      </c>
      <c r="J5" s="45">
        <v>89.72</v>
      </c>
      <c r="L5" s="49">
        <v>2160</v>
      </c>
      <c r="M5" s="49">
        <v>2270</v>
      </c>
      <c r="N5" s="46">
        <v>0.12</v>
      </c>
      <c r="O5" s="44" t="s">
        <v>113</v>
      </c>
      <c r="P5" s="45">
        <v>258.95999999999998</v>
      </c>
      <c r="R5" s="49">
        <v>2160</v>
      </c>
      <c r="S5" s="49">
        <v>2500</v>
      </c>
      <c r="T5" s="43">
        <v>0.08</v>
      </c>
      <c r="U5" s="44" t="s">
        <v>113</v>
      </c>
      <c r="V5" s="45">
        <v>172.64</v>
      </c>
    </row>
    <row r="6" spans="1:22" ht="15" x14ac:dyDescent="0.25">
      <c r="A6" s="52">
        <v>1</v>
      </c>
      <c r="B6" s="53">
        <v>1</v>
      </c>
      <c r="C6" s="54">
        <f>ROUNDDOWN((IF(C4&lt;=12585,(ROUNDDOWN(((VLOOKUP($C$4,F4:J26,3)*C4-VLOOKUP($C$4,F4:J26,5))),1))*1.07,((VLOOKUP($C$4,F4:J26,3)*C4-VLOOKUP($C$4,F4:J26,5)))*1.09-79.014)),1)</f>
        <v>3155.1</v>
      </c>
      <c r="E6" s="48">
        <v>3</v>
      </c>
      <c r="F6" s="49">
        <v>1295</v>
      </c>
      <c r="G6" s="49">
        <v>1465</v>
      </c>
      <c r="H6" s="43">
        <v>0.09</v>
      </c>
      <c r="I6" s="44" t="s">
        <v>113</v>
      </c>
      <c r="J6" s="45">
        <v>102.66</v>
      </c>
      <c r="L6" s="49">
        <v>2275</v>
      </c>
      <c r="M6" s="49">
        <v>2385</v>
      </c>
      <c r="N6" s="46">
        <v>0.13500000000000001</v>
      </c>
      <c r="O6" s="44" t="s">
        <v>113</v>
      </c>
      <c r="P6" s="45">
        <v>293.05500000000001</v>
      </c>
      <c r="R6" s="49">
        <v>2505</v>
      </c>
      <c r="S6" s="49">
        <v>2845</v>
      </c>
      <c r="T6" s="43">
        <v>0.09</v>
      </c>
      <c r="U6" s="44" t="s">
        <v>113</v>
      </c>
      <c r="V6" s="45">
        <v>197.67</v>
      </c>
    </row>
    <row r="7" spans="1:22" ht="15" x14ac:dyDescent="0.25">
      <c r="A7" s="52">
        <v>2</v>
      </c>
      <c r="B7" s="55" t="s">
        <v>7</v>
      </c>
      <c r="C7" s="47">
        <f>ROUNDDOWN((IF(C4&lt;=25085,(ROUNDDOWN(((VLOOKUP($C$4,L4:P19,3)*C4-VLOOKUP($C$4,L4:P19,5))),1))*1.07,((VLOOKUP($C$4,L4:P26,3)*C4-VLOOKUP($C$4,L4:P26,5)))*1.09-77.724)),1)</f>
        <v>3086</v>
      </c>
      <c r="E7" s="48">
        <v>4</v>
      </c>
      <c r="F7" s="49">
        <v>1470</v>
      </c>
      <c r="G7" s="49">
        <v>1635</v>
      </c>
      <c r="H7" s="43">
        <v>0.1</v>
      </c>
      <c r="I7" s="44" t="s">
        <v>113</v>
      </c>
      <c r="J7" s="45">
        <v>117.325</v>
      </c>
      <c r="L7" s="49">
        <v>2390</v>
      </c>
      <c r="M7" s="49">
        <v>2500</v>
      </c>
      <c r="N7" s="46">
        <v>0.15</v>
      </c>
      <c r="O7" s="44" t="s">
        <v>113</v>
      </c>
      <c r="P7" s="45">
        <v>328.875</v>
      </c>
      <c r="R7" s="49">
        <v>2850</v>
      </c>
      <c r="S7" s="49">
        <v>3190</v>
      </c>
      <c r="T7" s="43">
        <v>0.1</v>
      </c>
      <c r="U7" s="44" t="s">
        <v>113</v>
      </c>
      <c r="V7" s="45">
        <v>226.15</v>
      </c>
    </row>
    <row r="8" spans="1:22" ht="15" x14ac:dyDescent="0.25">
      <c r="A8" s="52">
        <v>3</v>
      </c>
      <c r="B8" s="55">
        <v>2</v>
      </c>
      <c r="C8" s="47">
        <f>ROUNDDOWN((IF(C4&lt;=25085,(ROUNDDOWN(((VLOOKUP($C$4,R4:V26,3)*C4-VLOOKUP($C$4,R4:V26,5))),1))*1.07,((VLOOKUP($C$4,R4:V26,3)*C4-VLOOKUP($C$4,R4:V26,5)))*1.09-158.028)),1)</f>
        <v>2122.1999999999998</v>
      </c>
      <c r="E8" s="48">
        <v>5</v>
      </c>
      <c r="F8" s="49">
        <v>1640</v>
      </c>
      <c r="G8" s="49">
        <v>1810</v>
      </c>
      <c r="H8" s="43">
        <v>0.11</v>
      </c>
      <c r="I8" s="44" t="s">
        <v>113</v>
      </c>
      <c r="J8" s="45">
        <v>133.715</v>
      </c>
      <c r="L8" s="49">
        <v>2505</v>
      </c>
      <c r="M8" s="49">
        <v>2615</v>
      </c>
      <c r="N8" s="46">
        <v>0.16500000000000001</v>
      </c>
      <c r="O8" s="44" t="s">
        <v>113</v>
      </c>
      <c r="P8" s="45">
        <v>366.42</v>
      </c>
      <c r="R8" s="49">
        <v>3195</v>
      </c>
      <c r="S8" s="49">
        <v>3535</v>
      </c>
      <c r="T8" s="43">
        <v>0.11</v>
      </c>
      <c r="U8" s="44" t="s">
        <v>113</v>
      </c>
      <c r="V8" s="45">
        <v>258.08</v>
      </c>
    </row>
    <row r="9" spans="1:22" ht="15" x14ac:dyDescent="0.25">
      <c r="A9" s="52">
        <v>4</v>
      </c>
      <c r="B9" s="56">
        <v>0.33</v>
      </c>
      <c r="C9" s="47">
        <f>IF(ROUNDDOWN(($C$4*0.33),1)&lt;1,0,ROUNDDOWN(($C$4*0.33),1))</f>
        <v>3326.4</v>
      </c>
      <c r="E9" s="48">
        <v>6</v>
      </c>
      <c r="F9" s="49">
        <v>1815</v>
      </c>
      <c r="G9" s="49">
        <v>1980</v>
      </c>
      <c r="H9" s="43">
        <v>0.12</v>
      </c>
      <c r="I9" s="44" t="s">
        <v>113</v>
      </c>
      <c r="J9" s="45">
        <v>151.83000000000001</v>
      </c>
      <c r="L9" s="49">
        <v>2620</v>
      </c>
      <c r="M9" s="49">
        <v>2730</v>
      </c>
      <c r="N9" s="46">
        <v>0.18</v>
      </c>
      <c r="O9" s="44" t="s">
        <v>113</v>
      </c>
      <c r="P9" s="45">
        <v>405.69</v>
      </c>
      <c r="R9" s="49">
        <v>3540</v>
      </c>
      <c r="S9" s="49">
        <v>3880</v>
      </c>
      <c r="T9" s="43">
        <v>0.12</v>
      </c>
      <c r="U9" s="44" t="s">
        <v>113</v>
      </c>
      <c r="V9" s="45">
        <v>293.45999999999998</v>
      </c>
    </row>
    <row r="10" spans="1:22" ht="15" x14ac:dyDescent="0.25">
      <c r="A10" s="52">
        <v>5</v>
      </c>
      <c r="B10" s="56">
        <v>0.21</v>
      </c>
      <c r="C10" s="47">
        <f>IF(ROUNDDOWN(($C$4*0.21),1)&lt;1,0,ROUNDDOWN(($C$4*0.21),1))</f>
        <v>2116.8000000000002</v>
      </c>
      <c r="E10" s="48">
        <v>7</v>
      </c>
      <c r="F10" s="49">
        <v>1985</v>
      </c>
      <c r="G10" s="49">
        <v>2160</v>
      </c>
      <c r="H10" s="43">
        <v>0.14000000000000001</v>
      </c>
      <c r="I10" s="44" t="s">
        <v>113</v>
      </c>
      <c r="J10" s="45">
        <v>191.51</v>
      </c>
      <c r="L10" s="49">
        <v>2735</v>
      </c>
      <c r="M10" s="49">
        <v>2850</v>
      </c>
      <c r="N10" s="46">
        <v>0.21</v>
      </c>
      <c r="O10" s="44" t="s">
        <v>113</v>
      </c>
      <c r="P10" s="45">
        <v>487.68</v>
      </c>
      <c r="R10" s="49">
        <v>3885</v>
      </c>
      <c r="S10" s="49">
        <v>4240</v>
      </c>
      <c r="T10" s="43">
        <v>0.14000000000000001</v>
      </c>
      <c r="U10" s="44" t="s">
        <v>113</v>
      </c>
      <c r="V10" s="45">
        <v>371.12</v>
      </c>
    </row>
    <row r="11" spans="1:22" ht="15" x14ac:dyDescent="0.25">
      <c r="A11" s="52">
        <v>6</v>
      </c>
      <c r="B11" s="56">
        <v>0.15</v>
      </c>
      <c r="C11" s="47">
        <f>IF(ROUNDDOWN(($C$4*0.15),1)&lt;1,0,ROUNDDOWN(($C$4*0.15),1))</f>
        <v>1512</v>
      </c>
      <c r="E11" s="48">
        <v>8</v>
      </c>
      <c r="F11" s="49">
        <v>2165</v>
      </c>
      <c r="G11" s="49">
        <v>2340</v>
      </c>
      <c r="H11" s="43">
        <v>0.16</v>
      </c>
      <c r="I11" s="44" t="s">
        <v>113</v>
      </c>
      <c r="J11" s="45">
        <v>234.77500000000001</v>
      </c>
      <c r="L11" s="49">
        <v>2855</v>
      </c>
      <c r="M11" s="49">
        <v>2970</v>
      </c>
      <c r="N11" s="46">
        <v>0.24</v>
      </c>
      <c r="O11" s="44" t="s">
        <v>113</v>
      </c>
      <c r="P11" s="45">
        <v>573.255</v>
      </c>
      <c r="R11" s="49">
        <v>4245</v>
      </c>
      <c r="S11" s="49">
        <v>4600</v>
      </c>
      <c r="T11" s="43">
        <v>0.16</v>
      </c>
      <c r="U11" s="44" t="s">
        <v>113</v>
      </c>
      <c r="V11" s="45">
        <v>455.95</v>
      </c>
    </row>
    <row r="12" spans="1:22" ht="15" x14ac:dyDescent="0.25">
      <c r="A12" s="52">
        <v>7</v>
      </c>
      <c r="B12" s="56">
        <v>0</v>
      </c>
      <c r="C12" s="47">
        <v>0</v>
      </c>
      <c r="E12" s="48">
        <v>9</v>
      </c>
      <c r="F12" s="49">
        <v>2345</v>
      </c>
      <c r="G12" s="49">
        <v>2520</v>
      </c>
      <c r="H12" s="43">
        <v>0.18</v>
      </c>
      <c r="I12" s="44" t="s">
        <v>113</v>
      </c>
      <c r="J12" s="45">
        <v>281.625</v>
      </c>
      <c r="L12" s="49">
        <v>2975</v>
      </c>
      <c r="M12" s="49">
        <v>3090</v>
      </c>
      <c r="N12" s="46">
        <v>0.27</v>
      </c>
      <c r="O12" s="44" t="s">
        <v>113</v>
      </c>
      <c r="P12" s="45">
        <v>662.41499999999996</v>
      </c>
      <c r="R12" s="49">
        <v>4605</v>
      </c>
      <c r="S12" s="49">
        <v>4955</v>
      </c>
      <c r="T12" s="43">
        <v>0.18</v>
      </c>
      <c r="U12" s="44" t="s">
        <v>113</v>
      </c>
      <c r="V12" s="45">
        <v>547.95000000000005</v>
      </c>
    </row>
    <row r="13" spans="1:22" x14ac:dyDescent="0.2">
      <c r="B13" s="1">
        <f>'Bulletin de salaire'!F5</f>
        <v>0</v>
      </c>
      <c r="C13" s="47">
        <f>IF(ROUNDDOWN(($C$4*B13/100),1)&lt;1,0,ROUNDDOWN(($C$4*B13/100),1))</f>
        <v>0</v>
      </c>
      <c r="E13" s="48">
        <v>10</v>
      </c>
      <c r="F13" s="49">
        <v>2525</v>
      </c>
      <c r="G13" s="49">
        <v>2700</v>
      </c>
      <c r="H13" s="43">
        <v>0.2</v>
      </c>
      <c r="I13" s="44" t="s">
        <v>113</v>
      </c>
      <c r="J13" s="45">
        <v>332.06</v>
      </c>
      <c r="L13" s="49">
        <v>3095</v>
      </c>
      <c r="M13" s="49">
        <v>3210</v>
      </c>
      <c r="N13" s="46">
        <v>0.3</v>
      </c>
      <c r="O13" s="44" t="s">
        <v>113</v>
      </c>
      <c r="P13" s="45">
        <v>755.16</v>
      </c>
      <c r="R13" s="49">
        <v>4960</v>
      </c>
      <c r="S13" s="49">
        <v>5315</v>
      </c>
      <c r="T13" s="43">
        <v>0.2</v>
      </c>
      <c r="U13" s="44" t="s">
        <v>113</v>
      </c>
      <c r="V13" s="45">
        <v>647.12</v>
      </c>
    </row>
    <row r="14" spans="1:22" x14ac:dyDescent="0.2">
      <c r="B14">
        <f>IF('Bulletin de salaire'!C5=B6,C6,IF('Bulletin de salaire'!C5=B7,C7,IF('Bulletin de salaire'!C5=B8,C8,IF('Bulletin de salaire'!C5=0,C13,"Zeil 5 kontroléiren w.e.g."))))</f>
        <v>2122.1999999999998</v>
      </c>
      <c r="C14" s="45"/>
      <c r="E14" s="48">
        <v>11</v>
      </c>
      <c r="F14" s="49">
        <v>2705</v>
      </c>
      <c r="G14" s="49">
        <v>2880</v>
      </c>
      <c r="H14" s="43">
        <v>0.22</v>
      </c>
      <c r="I14" s="44" t="s">
        <v>113</v>
      </c>
      <c r="J14" s="45">
        <v>386.06</v>
      </c>
      <c r="L14" s="49">
        <v>3215</v>
      </c>
      <c r="M14" s="49">
        <v>3330</v>
      </c>
      <c r="N14" s="46">
        <v>0.33</v>
      </c>
      <c r="O14" s="44" t="s">
        <v>113</v>
      </c>
      <c r="P14" s="45">
        <v>851.49</v>
      </c>
      <c r="R14" s="49">
        <v>5320</v>
      </c>
      <c r="S14" s="49">
        <v>5675</v>
      </c>
      <c r="T14" s="43">
        <v>0.22</v>
      </c>
      <c r="U14" s="44" t="s">
        <v>113</v>
      </c>
      <c r="V14" s="45">
        <v>753.46</v>
      </c>
    </row>
    <row r="15" spans="1:22" x14ac:dyDescent="0.2">
      <c r="C15" s="45"/>
      <c r="E15" s="48">
        <v>12</v>
      </c>
      <c r="F15" s="49">
        <v>2885</v>
      </c>
      <c r="G15" s="49">
        <v>3055</v>
      </c>
      <c r="H15" s="43">
        <v>0.24</v>
      </c>
      <c r="I15" s="44" t="s">
        <v>113</v>
      </c>
      <c r="J15" s="45">
        <v>443.685</v>
      </c>
      <c r="L15" s="49">
        <v>3335</v>
      </c>
      <c r="M15" s="49">
        <v>3450</v>
      </c>
      <c r="N15" s="46">
        <v>0.36</v>
      </c>
      <c r="O15" s="44" t="s">
        <v>113</v>
      </c>
      <c r="P15" s="45">
        <v>951.40499999999997</v>
      </c>
      <c r="R15" s="49">
        <v>5680</v>
      </c>
      <c r="S15" s="49">
        <v>6030</v>
      </c>
      <c r="T15" s="43">
        <v>0.24</v>
      </c>
      <c r="U15" s="44" t="s">
        <v>113</v>
      </c>
      <c r="V15" s="45">
        <v>866.97</v>
      </c>
    </row>
    <row r="16" spans="1:22" x14ac:dyDescent="0.2">
      <c r="B16" s="192" t="s">
        <v>224</v>
      </c>
      <c r="C16" s="47">
        <f>'Rente Berechnung'!F28</f>
        <v>5610.9769992141755</v>
      </c>
      <c r="E16" s="48">
        <v>13</v>
      </c>
      <c r="F16" s="49">
        <v>3060</v>
      </c>
      <c r="G16" s="49">
        <v>3235</v>
      </c>
      <c r="H16" s="43">
        <v>0.26</v>
      </c>
      <c r="I16" s="44" t="s">
        <v>113</v>
      </c>
      <c r="J16" s="45">
        <v>504.875</v>
      </c>
      <c r="L16" s="49">
        <v>3455</v>
      </c>
      <c r="M16" s="49">
        <v>9285</v>
      </c>
      <c r="N16" s="46">
        <v>0.39</v>
      </c>
      <c r="O16" s="44" t="s">
        <v>113</v>
      </c>
      <c r="P16" s="45">
        <v>1054.905</v>
      </c>
      <c r="R16" s="49">
        <v>6035</v>
      </c>
      <c r="S16" s="49">
        <v>6390</v>
      </c>
      <c r="T16" s="43">
        <v>0.26</v>
      </c>
      <c r="U16" s="44" t="s">
        <v>113</v>
      </c>
      <c r="V16" s="45">
        <v>987.65</v>
      </c>
    </row>
    <row r="17" spans="1:22" ht="12.75" customHeight="1" x14ac:dyDescent="0.2">
      <c r="B17" s="192"/>
      <c r="C17">
        <f>(ROUNDDOWN(C16*0.2,0))/0.2</f>
        <v>5610</v>
      </c>
      <c r="E17" s="48">
        <v>14</v>
      </c>
      <c r="F17" s="49">
        <v>3240</v>
      </c>
      <c r="G17" s="49">
        <v>3415</v>
      </c>
      <c r="H17" s="43">
        <v>0.28000000000000003</v>
      </c>
      <c r="I17" s="44" t="s">
        <v>113</v>
      </c>
      <c r="J17" s="45">
        <v>569.65</v>
      </c>
      <c r="L17" s="49">
        <v>9290</v>
      </c>
      <c r="M17" s="49">
        <v>13885</v>
      </c>
      <c r="N17" s="46">
        <v>0.4</v>
      </c>
      <c r="O17" s="44" t="s">
        <v>113</v>
      </c>
      <c r="P17" s="45">
        <v>1147.7574999999999</v>
      </c>
      <c r="R17" s="49">
        <v>6395</v>
      </c>
      <c r="S17" s="49">
        <v>6750</v>
      </c>
      <c r="T17" s="43">
        <v>0.28000000000000003</v>
      </c>
      <c r="U17" s="44" t="s">
        <v>113</v>
      </c>
      <c r="V17" s="45">
        <v>115.5</v>
      </c>
    </row>
    <row r="18" spans="1:22" ht="12.75" customHeight="1" x14ac:dyDescent="0.25">
      <c r="A18" s="50"/>
      <c r="B18">
        <v>3</v>
      </c>
      <c r="C18" s="51" t="s">
        <v>114</v>
      </c>
      <c r="E18" s="48">
        <v>15</v>
      </c>
      <c r="F18" s="49">
        <v>3420</v>
      </c>
      <c r="G18" s="49">
        <v>3595</v>
      </c>
      <c r="H18" s="43">
        <v>0.3</v>
      </c>
      <c r="I18" s="44" t="s">
        <v>113</v>
      </c>
      <c r="J18" s="45">
        <v>638.01</v>
      </c>
      <c r="L18">
        <v>13890</v>
      </c>
      <c r="M18">
        <v>18480</v>
      </c>
      <c r="N18">
        <v>0.41</v>
      </c>
      <c r="O18" t="s">
        <v>113</v>
      </c>
      <c r="P18">
        <v>1286.6075000000001</v>
      </c>
      <c r="R18">
        <v>6755</v>
      </c>
      <c r="S18" s="49">
        <v>7105</v>
      </c>
      <c r="T18">
        <v>0.3</v>
      </c>
      <c r="U18" t="s">
        <v>113</v>
      </c>
      <c r="V18" s="45">
        <v>1250.52</v>
      </c>
    </row>
    <row r="19" spans="1:22" ht="15" x14ac:dyDescent="0.25">
      <c r="A19" s="52">
        <v>1</v>
      </c>
      <c r="B19" s="53">
        <v>1</v>
      </c>
      <c r="C19" s="54">
        <f>ROUNDDOWN((IF(C17&lt;=12585,(ROUNDDOWN(((VLOOKUP($C$17,F4:J26,3)*C17-VLOOKUP($C$17,F4:J26,5))),1))*1.07,((VLOOKUP($C$17,F4:J26,3)*C17-VLOOKUP($C$17,F4:J26,5)))*1.09-79.014)),1)</f>
        <v>1281.2</v>
      </c>
      <c r="E19" s="48">
        <v>16</v>
      </c>
      <c r="F19" s="49">
        <v>3600</v>
      </c>
      <c r="G19" s="49">
        <v>3775</v>
      </c>
      <c r="H19" s="43">
        <v>0.32</v>
      </c>
      <c r="I19" s="44" t="s">
        <v>113</v>
      </c>
      <c r="J19" s="45">
        <v>709.95500000000004</v>
      </c>
      <c r="L19">
        <v>18485</v>
      </c>
      <c r="M19">
        <v>9999999.9900000002</v>
      </c>
      <c r="N19">
        <v>0.42</v>
      </c>
      <c r="O19" t="s">
        <v>113</v>
      </c>
      <c r="P19">
        <v>1471.4475</v>
      </c>
      <c r="R19">
        <v>7110</v>
      </c>
      <c r="S19" s="49">
        <v>7465</v>
      </c>
      <c r="T19">
        <v>0.32</v>
      </c>
      <c r="U19" t="s">
        <v>113</v>
      </c>
      <c r="V19" s="45">
        <v>1392.71</v>
      </c>
    </row>
    <row r="20" spans="1:22" ht="15" x14ac:dyDescent="0.25">
      <c r="A20" s="52">
        <v>2</v>
      </c>
      <c r="B20" s="55" t="s">
        <v>7</v>
      </c>
      <c r="C20" s="47">
        <f>ROUNDDOWN((IF(C17&lt;=25085,(ROUNDDOWN(((VLOOKUP($C$17,L4:P26,3)*C17-VLOOKUP($C$17,L4:P26,5))),1))*1.07,((VLOOKUP($C$17,L4:P26,3)*C17-VLOOKUP($C$17,L4:P26,5)))*1.09-77.724)),1)</f>
        <v>1212.2</v>
      </c>
      <c r="E20" s="48">
        <v>17</v>
      </c>
      <c r="F20" s="49">
        <v>3780</v>
      </c>
      <c r="G20" s="49">
        <v>3955</v>
      </c>
      <c r="H20" s="43">
        <v>0.34</v>
      </c>
      <c r="I20" s="44" t="s">
        <v>113</v>
      </c>
      <c r="J20" s="45">
        <v>785.48500000000001</v>
      </c>
      <c r="N20"/>
      <c r="P20"/>
      <c r="R20">
        <v>7470</v>
      </c>
      <c r="S20" s="49">
        <v>7825</v>
      </c>
      <c r="T20">
        <v>0.34</v>
      </c>
      <c r="U20" t="s">
        <v>113</v>
      </c>
      <c r="V20" s="45">
        <v>1542.07</v>
      </c>
    </row>
    <row r="21" spans="1:22" ht="15" x14ac:dyDescent="0.25">
      <c r="A21" s="52">
        <v>3</v>
      </c>
      <c r="B21" s="55">
        <v>2</v>
      </c>
      <c r="C21" s="47">
        <f>ROUNDDOWN((IF(C17&lt;=25085,(ROUNDDOWN(((VLOOKUP($C$17,R4:V26,3)*C17-VLOOKUP($C$17,R4:V26,5))),1))*1.07,((VLOOKUP($C$17,R4:V26,3)*C17-VLOOKUP($C$17,R4:V26,5)))*1.09-158.028)),1)</f>
        <v>514.29999999999995</v>
      </c>
      <c r="E21" s="48">
        <v>18</v>
      </c>
      <c r="F21" s="49">
        <v>3960</v>
      </c>
      <c r="G21" s="49">
        <v>4135</v>
      </c>
      <c r="H21" s="43">
        <v>0.36</v>
      </c>
      <c r="I21" s="44" t="s">
        <v>113</v>
      </c>
      <c r="J21" s="45">
        <v>864.6</v>
      </c>
      <c r="N21"/>
      <c r="P21"/>
      <c r="R21">
        <v>7830</v>
      </c>
      <c r="S21" s="49">
        <v>8185</v>
      </c>
      <c r="T21">
        <v>0.36</v>
      </c>
      <c r="U21" t="s">
        <v>113</v>
      </c>
      <c r="V21" s="45">
        <v>1698.6</v>
      </c>
    </row>
    <row r="22" spans="1:22" ht="15" x14ac:dyDescent="0.25">
      <c r="A22" s="52">
        <v>4</v>
      </c>
      <c r="B22" s="56">
        <v>0.33</v>
      </c>
      <c r="C22" s="47">
        <f>IF(ROUNDDOWN(($C$17*0.33),1)&lt;1,0,ROUNDDOWN(($C$17*0.33),1))</f>
        <v>1851.3</v>
      </c>
      <c r="E22" s="48">
        <v>19</v>
      </c>
      <c r="F22" s="49">
        <v>4140</v>
      </c>
      <c r="G22" s="49">
        <v>4310</v>
      </c>
      <c r="H22" s="43">
        <v>0.38</v>
      </c>
      <c r="I22" s="44" t="s">
        <v>113</v>
      </c>
      <c r="J22" s="45">
        <v>947.3</v>
      </c>
      <c r="N22"/>
      <c r="P22"/>
      <c r="R22">
        <v>8190</v>
      </c>
      <c r="S22" s="49">
        <v>8540</v>
      </c>
      <c r="T22">
        <v>0.38</v>
      </c>
      <c r="U22" t="s">
        <v>113</v>
      </c>
      <c r="V22" s="45">
        <v>1862.3</v>
      </c>
    </row>
    <row r="23" spans="1:22" ht="15" x14ac:dyDescent="0.25">
      <c r="A23" s="52">
        <v>5</v>
      </c>
      <c r="B23" s="56">
        <v>0.21</v>
      </c>
      <c r="C23" s="47">
        <f>IF(ROUNDDOWN(($C$17*0.21),1)&lt;1,0,ROUNDDOWN(($C$17*0.21),1))</f>
        <v>1178.0999999999999</v>
      </c>
      <c r="E23" s="48">
        <v>20</v>
      </c>
      <c r="F23" s="49">
        <v>4315</v>
      </c>
      <c r="G23" s="49">
        <v>9285</v>
      </c>
      <c r="H23" s="43">
        <v>0.39</v>
      </c>
      <c r="I23" s="44" t="s">
        <v>113</v>
      </c>
      <c r="J23" s="45">
        <v>990.4425</v>
      </c>
      <c r="N23"/>
      <c r="P23"/>
      <c r="R23">
        <v>8545</v>
      </c>
      <c r="S23" s="49">
        <v>18485</v>
      </c>
      <c r="T23">
        <v>0.39</v>
      </c>
      <c r="U23" t="s">
        <v>113</v>
      </c>
      <c r="V23" s="45">
        <v>1947.7349999999999</v>
      </c>
    </row>
    <row r="24" spans="1:22" ht="15" x14ac:dyDescent="0.25">
      <c r="A24" s="52">
        <v>6</v>
      </c>
      <c r="B24" s="56">
        <v>0.15</v>
      </c>
      <c r="C24" s="47">
        <f>IF(ROUNDDOWN(($C$17*0.15),1)&lt;1,0,ROUNDDOWN(($C$17*0.15),1))</f>
        <v>841.5</v>
      </c>
      <c r="E24" s="48">
        <v>21</v>
      </c>
      <c r="F24" s="49">
        <v>9290</v>
      </c>
      <c r="G24" s="49">
        <v>13885</v>
      </c>
      <c r="H24" s="43">
        <v>0.4</v>
      </c>
      <c r="I24" s="44" t="s">
        <v>113</v>
      </c>
      <c r="J24" s="45">
        <v>1083.2950000000001</v>
      </c>
      <c r="N24"/>
      <c r="P24"/>
      <c r="R24">
        <v>18490</v>
      </c>
      <c r="S24" s="49">
        <v>27685</v>
      </c>
      <c r="T24">
        <v>0.4</v>
      </c>
      <c r="U24" t="s">
        <v>113</v>
      </c>
      <c r="V24" s="45">
        <v>2132.59</v>
      </c>
    </row>
    <row r="25" spans="1:22" ht="15" x14ac:dyDescent="0.25">
      <c r="A25" s="52">
        <v>7</v>
      </c>
      <c r="B25" s="56">
        <v>0</v>
      </c>
      <c r="C25" s="47">
        <v>0</v>
      </c>
      <c r="E25" s="48">
        <v>22</v>
      </c>
      <c r="F25">
        <v>13890</v>
      </c>
      <c r="G25">
        <v>18480</v>
      </c>
      <c r="H25">
        <v>0.41</v>
      </c>
      <c r="I25" t="s">
        <v>113</v>
      </c>
      <c r="J25">
        <v>1222.145</v>
      </c>
      <c r="N25"/>
      <c r="P25"/>
      <c r="R25">
        <v>27690</v>
      </c>
      <c r="S25" s="49">
        <v>36880</v>
      </c>
      <c r="T25">
        <v>0.41</v>
      </c>
      <c r="U25" t="s">
        <v>113</v>
      </c>
      <c r="V25" s="45">
        <v>2409.44</v>
      </c>
    </row>
    <row r="26" spans="1:22" x14ac:dyDescent="0.2">
      <c r="B26" s="1">
        <f>'Rente Berechnung'!E29</f>
        <v>0</v>
      </c>
      <c r="C26" s="47">
        <f>IF(ROUNDDOWN(($C$17*B26/100),1)&lt;1,0,ROUNDDOWN(($C$17*B26/100),1))</f>
        <v>0</v>
      </c>
      <c r="E26" s="48">
        <v>23</v>
      </c>
      <c r="F26">
        <v>18485</v>
      </c>
      <c r="G26">
        <v>9999999.9900000002</v>
      </c>
      <c r="H26">
        <v>0.42</v>
      </c>
      <c r="I26" t="s">
        <v>113</v>
      </c>
      <c r="J26">
        <v>1406.9849999999999</v>
      </c>
      <c r="N26"/>
      <c r="P26"/>
      <c r="R26">
        <v>36885</v>
      </c>
      <c r="S26">
        <v>9999999.9900000002</v>
      </c>
      <c r="T26">
        <v>0.42</v>
      </c>
      <c r="U26" t="s">
        <v>113</v>
      </c>
      <c r="V26" s="45">
        <v>2778.27</v>
      </c>
    </row>
    <row r="27" spans="1:22" x14ac:dyDescent="0.2">
      <c r="B27">
        <f>IF('Rente Berechnung'!C29=B19,C19,IF('Rente Berechnung'!C29=B20,C20,IF('Rente Berechnung'!C29=B21,C21,IF('Rente Berechnung'!C29=0,C26,"Zeil c29 kontroléiren w.e.g."))))</f>
        <v>514.29999999999995</v>
      </c>
      <c r="C27" s="45"/>
      <c r="H27"/>
      <c r="I27"/>
      <c r="J27"/>
      <c r="N27"/>
      <c r="P27"/>
      <c r="T27"/>
      <c r="V27"/>
    </row>
    <row r="37" spans="7:22" x14ac:dyDescent="0.2">
      <c r="G37" s="43"/>
      <c r="H37" s="44"/>
      <c r="I37" s="45"/>
      <c r="J37"/>
      <c r="M37" s="46"/>
      <c r="N37"/>
      <c r="O37" s="45"/>
      <c r="P37"/>
      <c r="S37" s="43"/>
      <c r="T37"/>
      <c r="U37" s="45"/>
      <c r="V37"/>
    </row>
    <row r="38" spans="7:22" x14ac:dyDescent="0.2">
      <c r="G38" s="43"/>
      <c r="H38" s="44"/>
      <c r="I38" s="45"/>
      <c r="J38"/>
      <c r="M38" s="46"/>
      <c r="N38"/>
      <c r="O38" s="45"/>
      <c r="P38"/>
      <c r="S38" s="43"/>
      <c r="T38"/>
      <c r="U38" s="45"/>
      <c r="V38"/>
    </row>
    <row r="39" spans="7:22" x14ac:dyDescent="0.2">
      <c r="G39" s="43"/>
      <c r="H39" s="44"/>
      <c r="I39" s="45"/>
      <c r="J39"/>
      <c r="M39" s="46"/>
      <c r="N39"/>
      <c r="O39" s="45"/>
      <c r="P39"/>
      <c r="S39" s="43"/>
      <c r="T39"/>
      <c r="U39" s="45"/>
      <c r="V39"/>
    </row>
    <row r="40" spans="7:22" x14ac:dyDescent="0.2">
      <c r="G40" s="43"/>
      <c r="H40" s="44"/>
      <c r="I40" s="45"/>
      <c r="J40"/>
      <c r="M40" s="46"/>
      <c r="N40"/>
      <c r="O40" s="45"/>
      <c r="P40"/>
      <c r="S40" s="43"/>
      <c r="T40"/>
      <c r="U40" s="45"/>
      <c r="V40"/>
    </row>
    <row r="41" spans="7:22" x14ac:dyDescent="0.2">
      <c r="G41" s="43"/>
      <c r="H41" s="44"/>
      <c r="I41" s="45"/>
      <c r="J41"/>
      <c r="M41" s="46"/>
      <c r="N41"/>
      <c r="O41" s="45"/>
      <c r="P41"/>
      <c r="S41" s="43"/>
      <c r="T41"/>
      <c r="U41" s="45"/>
      <c r="V41"/>
    </row>
    <row r="42" spans="7:22" x14ac:dyDescent="0.2">
      <c r="G42" s="43"/>
      <c r="H42" s="44"/>
      <c r="I42" s="45"/>
      <c r="J42"/>
      <c r="M42" s="46"/>
      <c r="N42"/>
      <c r="O42" s="45"/>
      <c r="P42"/>
      <c r="S42" s="43"/>
      <c r="T42"/>
      <c r="U42" s="45"/>
      <c r="V42"/>
    </row>
    <row r="43" spans="7:22" x14ac:dyDescent="0.2">
      <c r="G43" s="43"/>
      <c r="H43" s="44"/>
      <c r="I43" s="45"/>
      <c r="J43"/>
      <c r="M43" s="46"/>
      <c r="N43"/>
      <c r="O43" s="45"/>
      <c r="P43"/>
      <c r="S43" s="43"/>
      <c r="T43"/>
      <c r="U43" s="45"/>
      <c r="V43"/>
    </row>
    <row r="44" spans="7:22" x14ac:dyDescent="0.2">
      <c r="G44" s="43"/>
      <c r="H44" s="44"/>
      <c r="I44" s="45"/>
      <c r="J44"/>
      <c r="M44" s="46"/>
      <c r="N44"/>
      <c r="O44" s="45"/>
      <c r="P44"/>
      <c r="S44" s="43"/>
      <c r="T44"/>
      <c r="U44" s="45"/>
      <c r="V44"/>
    </row>
    <row r="45" spans="7:22" x14ac:dyDescent="0.2">
      <c r="G45" s="43"/>
      <c r="H45" s="44"/>
      <c r="I45" s="45"/>
      <c r="J45"/>
      <c r="M45" s="46"/>
      <c r="N45"/>
      <c r="O45" s="45"/>
      <c r="P45"/>
      <c r="S45" s="43"/>
      <c r="T45"/>
      <c r="U45" s="45"/>
      <c r="V45"/>
    </row>
    <row r="46" spans="7:22" x14ac:dyDescent="0.2">
      <c r="G46" s="43"/>
      <c r="H46" s="44"/>
      <c r="I46" s="45"/>
      <c r="J46"/>
      <c r="M46" s="46"/>
      <c r="N46"/>
      <c r="O46" s="45"/>
      <c r="P46"/>
      <c r="S46" s="43"/>
      <c r="T46"/>
      <c r="U46" s="45"/>
      <c r="V46"/>
    </row>
  </sheetData>
  <mergeCells count="8">
    <mergeCell ref="B3:B4"/>
    <mergeCell ref="B16:B17"/>
    <mergeCell ref="T3:V3"/>
    <mergeCell ref="F3:G3"/>
    <mergeCell ref="H3:J3"/>
    <mergeCell ref="L3:M3"/>
    <mergeCell ref="N3:P3"/>
    <mergeCell ref="R3:S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80"/>
  <sheetViews>
    <sheetView topLeftCell="A7" workbookViewId="0">
      <selection activeCell="V44" sqref="V44"/>
    </sheetView>
  </sheetViews>
  <sheetFormatPr baseColWidth="10" defaultColWidth="9.140625" defaultRowHeight="12.75" x14ac:dyDescent="0.2"/>
  <cols>
    <col min="1" max="16384" width="9.140625" style="59"/>
  </cols>
  <sheetData>
    <row r="2" spans="2:9" ht="15.75" customHeight="1" x14ac:dyDescent="0.3">
      <c r="B2" s="57" t="s">
        <v>115</v>
      </c>
      <c r="C2" s="58"/>
      <c r="D2" s="58"/>
      <c r="E2" s="58"/>
      <c r="F2" s="58"/>
      <c r="H2" s="60" t="s">
        <v>116</v>
      </c>
      <c r="I2" s="59" t="s">
        <v>117</v>
      </c>
    </row>
    <row r="5" spans="2:9" x14ac:dyDescent="0.2">
      <c r="B5" s="73" t="s">
        <v>118</v>
      </c>
      <c r="C5" s="73">
        <f>'Bulletin de salaire'!E11*'Bulletin de salaire'!F11</f>
        <v>10661.614589999999</v>
      </c>
      <c r="D5" s="73" t="s">
        <v>126</v>
      </c>
      <c r="E5" s="73">
        <f>C5*13</f>
        <v>138600.98966999998</v>
      </c>
    </row>
    <row r="6" spans="2:9" x14ac:dyDescent="0.2">
      <c r="B6" s="73" t="s">
        <v>127</v>
      </c>
      <c r="C6" s="73"/>
      <c r="D6" s="73"/>
      <c r="E6" s="73">
        <f>1740.46+1591.17</f>
        <v>3331.63</v>
      </c>
    </row>
    <row r="7" spans="2:9" x14ac:dyDescent="0.2">
      <c r="B7" s="73" t="s">
        <v>120</v>
      </c>
      <c r="C7" s="73">
        <f>ROUNDUP((IF(E5+E6&lt;936,0,IF(E5+E6&lt;=11265,300+(E5+E6-936)*0.029,IF(E5+E6&lt;=40000,600,IF(E5+E6&lt;=79999,600-(E5+E6-40000)*0.015,0)))))/12,1)</f>
        <v>0</v>
      </c>
      <c r="D7" s="73" t="s">
        <v>119</v>
      </c>
      <c r="E7" s="73">
        <f>IF(C5*12&lt;936,0,IF(C5*12&lt;=11265,300+(C5*12-936)*0.029,IF(C5*12&lt;=40000,600,IF(C5*12&lt;=79999,600-(C5*12-40000)*0.015,0))))</f>
        <v>0</v>
      </c>
    </row>
    <row r="9" spans="2:9" x14ac:dyDescent="0.2">
      <c r="B9" s="59" t="s">
        <v>121</v>
      </c>
      <c r="C9" s="59" t="s">
        <v>96</v>
      </c>
    </row>
    <row r="10" spans="2:9" x14ac:dyDescent="0.2">
      <c r="B10" s="59">
        <v>0</v>
      </c>
      <c r="C10" s="59">
        <f>ROUNDUP((IF(B10*12&lt;936,0,IF(B10*12&lt;=11265,300+(B10*12-936)*0.029,IF(B10*12&lt;=40000,600,IF(B10*12&lt;=79999,600-(B10*12-40000)*0.015,0)))))/12,1)</f>
        <v>0</v>
      </c>
    </row>
    <row r="11" spans="2:9" x14ac:dyDescent="0.2">
      <c r="B11" s="59">
        <v>100</v>
      </c>
      <c r="C11" s="59">
        <f t="shared" ref="C11:C74" si="0">ROUNDUP((IF(B11*12&lt;936,0,IF(B11*12&lt;=11265,300+(B11*12-936)*0.029,IF(B11*12&lt;=40000,600,IF(B11*12&lt;=79999,600-(B11*12-40000)*0.015,0)))))/12,1)</f>
        <v>25.700000000000003</v>
      </c>
    </row>
    <row r="12" spans="2:9" x14ac:dyDescent="0.2">
      <c r="B12" s="59">
        <v>200</v>
      </c>
      <c r="C12" s="59">
        <f t="shared" si="0"/>
        <v>28.6</v>
      </c>
    </row>
    <row r="13" spans="2:9" x14ac:dyDescent="0.2">
      <c r="B13" s="59">
        <v>300</v>
      </c>
      <c r="C13" s="59">
        <f t="shared" si="0"/>
        <v>31.5</v>
      </c>
    </row>
    <row r="14" spans="2:9" x14ac:dyDescent="0.2">
      <c r="B14" s="59">
        <v>400</v>
      </c>
      <c r="C14" s="59">
        <f t="shared" si="0"/>
        <v>34.4</v>
      </c>
    </row>
    <row r="15" spans="2:9" x14ac:dyDescent="0.2">
      <c r="B15" s="59">
        <v>500</v>
      </c>
      <c r="C15" s="59">
        <f t="shared" si="0"/>
        <v>37.300000000000004</v>
      </c>
    </row>
    <row r="16" spans="2:9" x14ac:dyDescent="0.2">
      <c r="B16" s="59">
        <v>600</v>
      </c>
      <c r="C16" s="59">
        <f t="shared" si="0"/>
        <v>40.200000000000003</v>
      </c>
    </row>
    <row r="17" spans="2:3" x14ac:dyDescent="0.2">
      <c r="B17" s="59">
        <v>700</v>
      </c>
      <c r="C17" s="59">
        <f t="shared" si="0"/>
        <v>43.1</v>
      </c>
    </row>
    <row r="18" spans="2:3" x14ac:dyDescent="0.2">
      <c r="B18" s="59">
        <v>800</v>
      </c>
      <c r="C18" s="59">
        <f t="shared" si="0"/>
        <v>46</v>
      </c>
    </row>
    <row r="19" spans="2:3" x14ac:dyDescent="0.2">
      <c r="B19" s="59">
        <v>900</v>
      </c>
      <c r="C19" s="59">
        <f t="shared" si="0"/>
        <v>48.9</v>
      </c>
    </row>
    <row r="20" spans="2:3" x14ac:dyDescent="0.2">
      <c r="B20" s="59">
        <v>1000</v>
      </c>
      <c r="C20" s="59">
        <f t="shared" si="0"/>
        <v>50</v>
      </c>
    </row>
    <row r="21" spans="2:3" x14ac:dyDescent="0.2">
      <c r="B21" s="59">
        <v>1100</v>
      </c>
      <c r="C21" s="59">
        <f t="shared" si="0"/>
        <v>50</v>
      </c>
    </row>
    <row r="22" spans="2:3" x14ac:dyDescent="0.2">
      <c r="B22" s="59">
        <v>1200</v>
      </c>
      <c r="C22" s="59">
        <f t="shared" si="0"/>
        <v>50</v>
      </c>
    </row>
    <row r="23" spans="2:3" x14ac:dyDescent="0.2">
      <c r="B23" s="59">
        <v>1300</v>
      </c>
      <c r="C23" s="59">
        <f t="shared" si="0"/>
        <v>50</v>
      </c>
    </row>
    <row r="24" spans="2:3" x14ac:dyDescent="0.2">
      <c r="B24" s="59">
        <v>1400</v>
      </c>
      <c r="C24" s="59">
        <f t="shared" si="0"/>
        <v>50</v>
      </c>
    </row>
    <row r="25" spans="2:3" x14ac:dyDescent="0.2">
      <c r="B25" s="59">
        <v>1500</v>
      </c>
      <c r="C25" s="59">
        <f t="shared" si="0"/>
        <v>50</v>
      </c>
    </row>
    <row r="26" spans="2:3" x14ac:dyDescent="0.2">
      <c r="B26" s="59">
        <v>1600</v>
      </c>
      <c r="C26" s="59">
        <f t="shared" si="0"/>
        <v>50</v>
      </c>
    </row>
    <row r="27" spans="2:3" x14ac:dyDescent="0.2">
      <c r="B27" s="59">
        <v>1700</v>
      </c>
      <c r="C27" s="59">
        <f t="shared" si="0"/>
        <v>50</v>
      </c>
    </row>
    <row r="28" spans="2:3" x14ac:dyDescent="0.2">
      <c r="B28" s="59">
        <v>1800</v>
      </c>
      <c r="C28" s="59">
        <f t="shared" si="0"/>
        <v>50</v>
      </c>
    </row>
    <row r="29" spans="2:3" x14ac:dyDescent="0.2">
      <c r="B29" s="59">
        <v>1900</v>
      </c>
      <c r="C29" s="59">
        <f t="shared" si="0"/>
        <v>50</v>
      </c>
    </row>
    <row r="30" spans="2:3" x14ac:dyDescent="0.2">
      <c r="B30" s="59">
        <v>2000</v>
      </c>
      <c r="C30" s="59">
        <f t="shared" si="0"/>
        <v>50</v>
      </c>
    </row>
    <row r="31" spans="2:3" x14ac:dyDescent="0.2">
      <c r="B31" s="59">
        <v>2100</v>
      </c>
      <c r="C31" s="59">
        <f t="shared" si="0"/>
        <v>50</v>
      </c>
    </row>
    <row r="32" spans="2:3" x14ac:dyDescent="0.2">
      <c r="B32" s="59">
        <v>2200</v>
      </c>
      <c r="C32" s="59">
        <f t="shared" si="0"/>
        <v>50</v>
      </c>
    </row>
    <row r="33" spans="2:3" x14ac:dyDescent="0.2">
      <c r="B33" s="59">
        <v>2300</v>
      </c>
      <c r="C33" s="59">
        <f t="shared" si="0"/>
        <v>50</v>
      </c>
    </row>
    <row r="34" spans="2:3" x14ac:dyDescent="0.2">
      <c r="B34" s="59">
        <v>2400</v>
      </c>
      <c r="C34" s="59">
        <f t="shared" si="0"/>
        <v>50</v>
      </c>
    </row>
    <row r="35" spans="2:3" x14ac:dyDescent="0.2">
      <c r="B35" s="59">
        <v>2500</v>
      </c>
      <c r="C35" s="59">
        <f t="shared" si="0"/>
        <v>50</v>
      </c>
    </row>
    <row r="36" spans="2:3" x14ac:dyDescent="0.2">
      <c r="B36" s="59">
        <v>2600</v>
      </c>
      <c r="C36" s="59">
        <f t="shared" si="0"/>
        <v>50</v>
      </c>
    </row>
    <row r="37" spans="2:3" x14ac:dyDescent="0.2">
      <c r="B37" s="59">
        <v>2700</v>
      </c>
      <c r="C37" s="59">
        <f t="shared" si="0"/>
        <v>50</v>
      </c>
    </row>
    <row r="38" spans="2:3" x14ac:dyDescent="0.2">
      <c r="B38" s="59">
        <v>2800</v>
      </c>
      <c r="C38" s="59">
        <f t="shared" si="0"/>
        <v>50</v>
      </c>
    </row>
    <row r="39" spans="2:3" x14ac:dyDescent="0.2">
      <c r="B39" s="59">
        <v>2900</v>
      </c>
      <c r="C39" s="59">
        <f t="shared" si="0"/>
        <v>50</v>
      </c>
    </row>
    <row r="40" spans="2:3" x14ac:dyDescent="0.2">
      <c r="B40" s="59">
        <v>3000</v>
      </c>
      <c r="C40" s="59">
        <f t="shared" si="0"/>
        <v>50</v>
      </c>
    </row>
    <row r="41" spans="2:3" x14ac:dyDescent="0.2">
      <c r="B41" s="59">
        <v>3100</v>
      </c>
      <c r="C41" s="59">
        <f t="shared" si="0"/>
        <v>50</v>
      </c>
    </row>
    <row r="42" spans="2:3" x14ac:dyDescent="0.2">
      <c r="B42" s="59">
        <v>3200</v>
      </c>
      <c r="C42" s="59">
        <f t="shared" si="0"/>
        <v>50</v>
      </c>
    </row>
    <row r="43" spans="2:3" x14ac:dyDescent="0.2">
      <c r="B43" s="59">
        <v>3300</v>
      </c>
      <c r="C43" s="59">
        <f t="shared" si="0"/>
        <v>50</v>
      </c>
    </row>
    <row r="44" spans="2:3" x14ac:dyDescent="0.2">
      <c r="B44" s="59">
        <v>3400</v>
      </c>
      <c r="C44" s="59">
        <f t="shared" si="0"/>
        <v>49</v>
      </c>
    </row>
    <row r="45" spans="2:3" x14ac:dyDescent="0.2">
      <c r="B45" s="59">
        <v>3500</v>
      </c>
      <c r="C45" s="59">
        <f t="shared" si="0"/>
        <v>47.5</v>
      </c>
    </row>
    <row r="46" spans="2:3" x14ac:dyDescent="0.2">
      <c r="B46" s="59">
        <v>3600</v>
      </c>
      <c r="C46" s="59">
        <f t="shared" si="0"/>
        <v>46</v>
      </c>
    </row>
    <row r="47" spans="2:3" x14ac:dyDescent="0.2">
      <c r="B47" s="59">
        <v>3700</v>
      </c>
      <c r="C47" s="59">
        <f t="shared" si="0"/>
        <v>44.5</v>
      </c>
    </row>
    <row r="48" spans="2:3" x14ac:dyDescent="0.2">
      <c r="B48" s="59">
        <v>3800</v>
      </c>
      <c r="C48" s="59">
        <f t="shared" si="0"/>
        <v>43</v>
      </c>
    </row>
    <row r="49" spans="2:3" x14ac:dyDescent="0.2">
      <c r="B49" s="59">
        <v>3900</v>
      </c>
      <c r="C49" s="59">
        <f t="shared" si="0"/>
        <v>41.5</v>
      </c>
    </row>
    <row r="50" spans="2:3" x14ac:dyDescent="0.2">
      <c r="B50" s="59">
        <v>4000</v>
      </c>
      <c r="C50" s="59">
        <f t="shared" si="0"/>
        <v>40</v>
      </c>
    </row>
    <row r="51" spans="2:3" x14ac:dyDescent="0.2">
      <c r="B51" s="59">
        <v>4100</v>
      </c>
      <c r="C51" s="59">
        <f t="shared" si="0"/>
        <v>38.5</v>
      </c>
    </row>
    <row r="52" spans="2:3" x14ac:dyDescent="0.2">
      <c r="B52" s="59">
        <v>4200</v>
      </c>
      <c r="C52" s="59">
        <f t="shared" si="0"/>
        <v>37</v>
      </c>
    </row>
    <row r="53" spans="2:3" x14ac:dyDescent="0.2">
      <c r="B53" s="59">
        <v>4300</v>
      </c>
      <c r="C53" s="59">
        <f t="shared" si="0"/>
        <v>35.5</v>
      </c>
    </row>
    <row r="54" spans="2:3" x14ac:dyDescent="0.2">
      <c r="B54" s="59">
        <v>4400</v>
      </c>
      <c r="C54" s="59">
        <f t="shared" si="0"/>
        <v>34</v>
      </c>
    </row>
    <row r="55" spans="2:3" x14ac:dyDescent="0.2">
      <c r="B55" s="59">
        <v>4500</v>
      </c>
      <c r="C55" s="59">
        <f t="shared" si="0"/>
        <v>32.5</v>
      </c>
    </row>
    <row r="56" spans="2:3" x14ac:dyDescent="0.2">
      <c r="B56" s="59">
        <v>4600</v>
      </c>
      <c r="C56" s="59">
        <f t="shared" si="0"/>
        <v>31</v>
      </c>
    </row>
    <row r="57" spans="2:3" x14ac:dyDescent="0.2">
      <c r="B57" s="59">
        <v>4700</v>
      </c>
      <c r="C57" s="59">
        <f t="shared" si="0"/>
        <v>29.5</v>
      </c>
    </row>
    <row r="58" spans="2:3" x14ac:dyDescent="0.2">
      <c r="B58" s="59">
        <v>4800</v>
      </c>
      <c r="C58" s="59">
        <f t="shared" si="0"/>
        <v>28</v>
      </c>
    </row>
    <row r="59" spans="2:3" x14ac:dyDescent="0.2">
      <c r="B59" s="59">
        <v>4900</v>
      </c>
      <c r="C59" s="59">
        <f t="shared" si="0"/>
        <v>26.5</v>
      </c>
    </row>
    <row r="60" spans="2:3" x14ac:dyDescent="0.2">
      <c r="B60" s="59">
        <v>5000</v>
      </c>
      <c r="C60" s="59">
        <f t="shared" si="0"/>
        <v>25</v>
      </c>
    </row>
    <row r="61" spans="2:3" x14ac:dyDescent="0.2">
      <c r="B61" s="59">
        <v>5100</v>
      </c>
      <c r="C61" s="59">
        <f t="shared" si="0"/>
        <v>23.5</v>
      </c>
    </row>
    <row r="62" spans="2:3" x14ac:dyDescent="0.2">
      <c r="B62" s="59">
        <v>5200</v>
      </c>
      <c r="C62" s="59">
        <f t="shared" si="0"/>
        <v>22</v>
      </c>
    </row>
    <row r="63" spans="2:3" x14ac:dyDescent="0.2">
      <c r="B63" s="59">
        <v>5300</v>
      </c>
      <c r="C63" s="59">
        <f t="shared" si="0"/>
        <v>20.5</v>
      </c>
    </row>
    <row r="64" spans="2:3" x14ac:dyDescent="0.2">
      <c r="B64" s="59">
        <v>5400</v>
      </c>
      <c r="C64" s="59">
        <f t="shared" si="0"/>
        <v>19</v>
      </c>
    </row>
    <row r="65" spans="2:3" x14ac:dyDescent="0.2">
      <c r="B65" s="59">
        <v>5500</v>
      </c>
      <c r="C65" s="59">
        <f t="shared" si="0"/>
        <v>17.5</v>
      </c>
    </row>
    <row r="66" spans="2:3" x14ac:dyDescent="0.2">
      <c r="B66" s="59">
        <v>5600</v>
      </c>
      <c r="C66" s="59">
        <f t="shared" si="0"/>
        <v>16</v>
      </c>
    </row>
    <row r="67" spans="2:3" x14ac:dyDescent="0.2">
      <c r="B67" s="59">
        <v>5700</v>
      </c>
      <c r="C67" s="59">
        <f t="shared" si="0"/>
        <v>14.5</v>
      </c>
    </row>
    <row r="68" spans="2:3" x14ac:dyDescent="0.2">
      <c r="B68" s="59">
        <v>5800</v>
      </c>
      <c r="C68" s="59">
        <f t="shared" si="0"/>
        <v>13</v>
      </c>
    </row>
    <row r="69" spans="2:3" x14ac:dyDescent="0.2">
      <c r="B69" s="59">
        <v>5900</v>
      </c>
      <c r="C69" s="59">
        <f t="shared" si="0"/>
        <v>11.5</v>
      </c>
    </row>
    <row r="70" spans="2:3" x14ac:dyDescent="0.2">
      <c r="B70" s="59">
        <v>6000</v>
      </c>
      <c r="C70" s="59">
        <f t="shared" si="0"/>
        <v>10</v>
      </c>
    </row>
    <row r="71" spans="2:3" x14ac:dyDescent="0.2">
      <c r="B71" s="59">
        <v>6100</v>
      </c>
      <c r="C71" s="59">
        <f t="shared" si="0"/>
        <v>8.5</v>
      </c>
    </row>
    <row r="72" spans="2:3" x14ac:dyDescent="0.2">
      <c r="B72" s="59">
        <v>6200</v>
      </c>
      <c r="C72" s="59">
        <f t="shared" si="0"/>
        <v>7</v>
      </c>
    </row>
    <row r="73" spans="2:3" x14ac:dyDescent="0.2">
      <c r="B73" s="59">
        <v>6300</v>
      </c>
      <c r="C73" s="59">
        <f t="shared" si="0"/>
        <v>5.5</v>
      </c>
    </row>
    <row r="74" spans="2:3" x14ac:dyDescent="0.2">
      <c r="B74" s="59">
        <v>6400</v>
      </c>
      <c r="C74" s="59">
        <f t="shared" si="0"/>
        <v>4</v>
      </c>
    </row>
    <row r="75" spans="2:3" x14ac:dyDescent="0.2">
      <c r="B75" s="59">
        <v>6500</v>
      </c>
      <c r="C75" s="59">
        <f t="shared" ref="C75:C80" si="1">ROUNDUP((IF(B75*12&lt;936,0,IF(B75*12&lt;=11265,300+(B75*12-936)*0.029,IF(B75*12&lt;=40000,600,IF(B75*12&lt;=79999,600-(B75*12-40000)*0.015,0)))))/12,1)</f>
        <v>2.5</v>
      </c>
    </row>
    <row r="76" spans="2:3" x14ac:dyDescent="0.2">
      <c r="B76" s="59">
        <v>6600</v>
      </c>
      <c r="C76" s="59">
        <f t="shared" si="1"/>
        <v>1</v>
      </c>
    </row>
    <row r="77" spans="2:3" x14ac:dyDescent="0.2">
      <c r="B77" s="59">
        <v>6700</v>
      </c>
      <c r="C77" s="59">
        <f t="shared" si="1"/>
        <v>0</v>
      </c>
    </row>
    <row r="78" spans="2:3" x14ac:dyDescent="0.2">
      <c r="B78" s="59">
        <v>6800</v>
      </c>
      <c r="C78" s="59">
        <f t="shared" si="1"/>
        <v>0</v>
      </c>
    </row>
    <row r="79" spans="2:3" x14ac:dyDescent="0.2">
      <c r="B79" s="59">
        <v>6900</v>
      </c>
      <c r="C79" s="59">
        <f t="shared" si="1"/>
        <v>0</v>
      </c>
    </row>
    <row r="80" spans="2:3" x14ac:dyDescent="0.2">
      <c r="B80" s="59">
        <v>7000</v>
      </c>
      <c r="C80" s="59">
        <f t="shared" si="1"/>
        <v>0</v>
      </c>
    </row>
  </sheetData>
  <hyperlinks>
    <hyperlink ref="I2" r:id="rId1" xr:uid="{00000000-0004-0000-02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E14"/>
  <sheetViews>
    <sheetView workbookViewId="0">
      <selection activeCell="J42" sqref="J42"/>
    </sheetView>
  </sheetViews>
  <sheetFormatPr baseColWidth="10" defaultColWidth="11.42578125" defaultRowHeight="12.75" x14ac:dyDescent="0.2"/>
  <cols>
    <col min="2" max="2" width="19" customWidth="1"/>
    <col min="258" max="258" width="19" customWidth="1"/>
    <col min="514" max="514" width="19" customWidth="1"/>
    <col min="770" max="770" width="19" customWidth="1"/>
    <col min="1026" max="1026" width="19" customWidth="1"/>
    <col min="1282" max="1282" width="19" customWidth="1"/>
    <col min="1538" max="1538" width="19" customWidth="1"/>
    <col min="1794" max="1794" width="19" customWidth="1"/>
    <col min="2050" max="2050" width="19" customWidth="1"/>
    <col min="2306" max="2306" width="19" customWidth="1"/>
    <col min="2562" max="2562" width="19" customWidth="1"/>
    <col min="2818" max="2818" width="19" customWidth="1"/>
    <col min="3074" max="3074" width="19" customWidth="1"/>
    <col min="3330" max="3330" width="19" customWidth="1"/>
    <col min="3586" max="3586" width="19" customWidth="1"/>
    <col min="3842" max="3842" width="19" customWidth="1"/>
    <col min="4098" max="4098" width="19" customWidth="1"/>
    <col min="4354" max="4354" width="19" customWidth="1"/>
    <col min="4610" max="4610" width="19" customWidth="1"/>
    <col min="4866" max="4866" width="19" customWidth="1"/>
    <col min="5122" max="5122" width="19" customWidth="1"/>
    <col min="5378" max="5378" width="19" customWidth="1"/>
    <col min="5634" max="5634" width="19" customWidth="1"/>
    <col min="5890" max="5890" width="19" customWidth="1"/>
    <col min="6146" max="6146" width="19" customWidth="1"/>
    <col min="6402" max="6402" width="19" customWidth="1"/>
    <col min="6658" max="6658" width="19" customWidth="1"/>
    <col min="6914" max="6914" width="19" customWidth="1"/>
    <col min="7170" max="7170" width="19" customWidth="1"/>
    <col min="7426" max="7426" width="19" customWidth="1"/>
    <col min="7682" max="7682" width="19" customWidth="1"/>
    <col min="7938" max="7938" width="19" customWidth="1"/>
    <col min="8194" max="8194" width="19" customWidth="1"/>
    <col min="8450" max="8450" width="19" customWidth="1"/>
    <col min="8706" max="8706" width="19" customWidth="1"/>
    <col min="8962" max="8962" width="19" customWidth="1"/>
    <col min="9218" max="9218" width="19" customWidth="1"/>
    <col min="9474" max="9474" width="19" customWidth="1"/>
    <col min="9730" max="9730" width="19" customWidth="1"/>
    <col min="9986" max="9986" width="19" customWidth="1"/>
    <col min="10242" max="10242" width="19" customWidth="1"/>
    <col min="10498" max="10498" width="19" customWidth="1"/>
    <col min="10754" max="10754" width="19" customWidth="1"/>
    <col min="11010" max="11010" width="19" customWidth="1"/>
    <col min="11266" max="11266" width="19" customWidth="1"/>
    <col min="11522" max="11522" width="19" customWidth="1"/>
    <col min="11778" max="11778" width="19" customWidth="1"/>
    <col min="12034" max="12034" width="19" customWidth="1"/>
    <col min="12290" max="12290" width="19" customWidth="1"/>
    <col min="12546" max="12546" width="19" customWidth="1"/>
    <col min="12802" max="12802" width="19" customWidth="1"/>
    <col min="13058" max="13058" width="19" customWidth="1"/>
    <col min="13314" max="13314" width="19" customWidth="1"/>
    <col min="13570" max="13570" width="19" customWidth="1"/>
    <col min="13826" max="13826" width="19" customWidth="1"/>
    <col min="14082" max="14082" width="19" customWidth="1"/>
    <col min="14338" max="14338" width="19" customWidth="1"/>
    <col min="14594" max="14594" width="19" customWidth="1"/>
    <col min="14850" max="14850" width="19" customWidth="1"/>
    <col min="15106" max="15106" width="19" customWidth="1"/>
    <col min="15362" max="15362" width="19" customWidth="1"/>
    <col min="15618" max="15618" width="19" customWidth="1"/>
    <col min="15874" max="15874" width="19" customWidth="1"/>
    <col min="16130" max="16130" width="19" customWidth="1"/>
  </cols>
  <sheetData>
    <row r="3" spans="1:5" x14ac:dyDescent="0.2">
      <c r="B3" s="83" t="s">
        <v>146</v>
      </c>
    </row>
    <row r="6" spans="1:5" x14ac:dyDescent="0.2">
      <c r="B6" t="s">
        <v>147</v>
      </c>
    </row>
    <row r="8" spans="1:5" x14ac:dyDescent="0.2">
      <c r="B8" t="s">
        <v>148</v>
      </c>
    </row>
    <row r="9" spans="1:5" x14ac:dyDescent="0.2">
      <c r="B9" t="s">
        <v>149</v>
      </c>
    </row>
    <row r="10" spans="1:5" x14ac:dyDescent="0.2">
      <c r="B10" t="s">
        <v>150</v>
      </c>
    </row>
    <row r="12" spans="1:5" x14ac:dyDescent="0.2">
      <c r="A12" s="59"/>
      <c r="B12" s="73" t="s">
        <v>118</v>
      </c>
      <c r="C12" s="84">
        <f>'Bulletin de salaire'!G43</f>
        <v>11365.02</v>
      </c>
      <c r="D12" s="73"/>
      <c r="E12" s="73"/>
    </row>
    <row r="13" spans="1:5" x14ac:dyDescent="0.2">
      <c r="A13" s="59"/>
      <c r="B13" s="73" t="s">
        <v>151</v>
      </c>
      <c r="C13" s="73"/>
      <c r="D13" s="73"/>
      <c r="E13" s="73">
        <v>0</v>
      </c>
    </row>
    <row r="14" spans="1:5" x14ac:dyDescent="0.2">
      <c r="A14" s="59"/>
      <c r="B14" s="73" t="s">
        <v>152</v>
      </c>
      <c r="C14" s="73">
        <f>ROUNDUP((IF(C12+C13&lt;78,0,IF(C12+C13&lt;=3667,84,IF(C12+C13&lt;=5667,84-(C12+C13-3667)*(8/2000),IF(C12+C13&lt;=8334,76-(C12+C13-5667)*(76/2667),0))))),2)</f>
        <v>0</v>
      </c>
      <c r="D14" s="73"/>
      <c r="E14" s="73">
        <f>IF(C12*12&lt;936,0,IF(C12*12&lt;=11265,300+(C12*12-936)*0.029,IF(C12*12&lt;=40000,600,IF(C12*12&lt;=79999,600-(C12*12-40000)*0.015,0))))</f>
        <v>0</v>
      </c>
    </row>
  </sheetData>
  <hyperlinks>
    <hyperlink ref="B3" r:id="rId1" xr:uid="{00000000-0004-0000-03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workbookViewId="0">
      <selection activeCell="F24" sqref="F24"/>
    </sheetView>
  </sheetViews>
  <sheetFormatPr baseColWidth="10" defaultColWidth="9.140625" defaultRowHeight="12.75" x14ac:dyDescent="0.2"/>
  <sheetData>
    <row r="1" spans="1:11" x14ac:dyDescent="0.2">
      <c r="A1" t="s">
        <v>153</v>
      </c>
    </row>
    <row r="2" spans="1:11" x14ac:dyDescent="0.2">
      <c r="A2">
        <v>1125</v>
      </c>
      <c r="B2">
        <v>1250</v>
      </c>
      <c r="C2">
        <f>IF(AND($B$12&gt;=A2,$B$12&lt;B2),($B$12-1125)*(4/125),0)</f>
        <v>0</v>
      </c>
      <c r="J2" t="s">
        <v>154</v>
      </c>
    </row>
    <row r="3" spans="1:11" x14ac:dyDescent="0.2">
      <c r="A3">
        <v>1250</v>
      </c>
      <c r="B3">
        <v>2100</v>
      </c>
      <c r="C3">
        <f>IF(AND($B$12&gt;=A3,$B$12&lt;B3),($B$12-A3)*(3/850)+4,0)</f>
        <v>0</v>
      </c>
      <c r="J3" t="s">
        <v>155</v>
      </c>
      <c r="K3" t="s">
        <v>156</v>
      </c>
    </row>
    <row r="4" spans="1:11" x14ac:dyDescent="0.2">
      <c r="A4">
        <v>2100</v>
      </c>
      <c r="B4">
        <v>4600</v>
      </c>
      <c r="C4">
        <f>IF(AND($B$12&gt;=A4,$B$12&lt;B4),($B$12-A4)*(37/2500)+7,0)</f>
        <v>0</v>
      </c>
      <c r="J4" t="s">
        <v>155</v>
      </c>
      <c r="K4" t="s">
        <v>157</v>
      </c>
    </row>
    <row r="5" spans="1:11" x14ac:dyDescent="0.2">
      <c r="A5">
        <v>4600</v>
      </c>
      <c r="B5">
        <v>9500</v>
      </c>
      <c r="C5">
        <f>IF(AND($B$12&gt;=A5,$B$12&lt;B5),44,0)</f>
        <v>0</v>
      </c>
      <c r="J5" t="s">
        <v>155</v>
      </c>
      <c r="K5" t="s">
        <v>158</v>
      </c>
    </row>
    <row r="6" spans="1:11" x14ac:dyDescent="0.2">
      <c r="A6">
        <v>9500</v>
      </c>
      <c r="B6">
        <v>9925</v>
      </c>
      <c r="C6">
        <f>IF(AND($B$12&gt;=A6,$B$12&lt;B6),($B$12-A6)*(4/425)+44,0)</f>
        <v>0</v>
      </c>
      <c r="J6" t="s">
        <v>155</v>
      </c>
      <c r="K6" t="s">
        <v>159</v>
      </c>
    </row>
    <row r="7" spans="1:11" x14ac:dyDescent="0.2">
      <c r="A7">
        <v>9925</v>
      </c>
      <c r="B7">
        <v>14175</v>
      </c>
      <c r="C7">
        <f>IF(AND($B$12&gt;=A7,$B$12&lt;B7),48,0)</f>
        <v>48</v>
      </c>
      <c r="J7" t="s">
        <v>155</v>
      </c>
      <c r="K7" t="s">
        <v>160</v>
      </c>
    </row>
    <row r="8" spans="1:11" x14ac:dyDescent="0.2">
      <c r="A8">
        <v>14175</v>
      </c>
      <c r="B8">
        <v>14916</v>
      </c>
      <c r="C8">
        <f>IF(AND($B$12&gt;=A8,$B$12&lt;B8),($B$12-A8)*(3/356)+48,0)</f>
        <v>0</v>
      </c>
      <c r="J8" t="s">
        <v>155</v>
      </c>
      <c r="K8" t="s">
        <v>161</v>
      </c>
    </row>
    <row r="9" spans="1:11" x14ac:dyDescent="0.2">
      <c r="A9">
        <v>14916</v>
      </c>
      <c r="C9">
        <f>IF($B$12&gt;=A9,54.25,0)</f>
        <v>0</v>
      </c>
      <c r="J9" t="s">
        <v>155</v>
      </c>
      <c r="K9" t="s">
        <v>162</v>
      </c>
    </row>
    <row r="12" spans="1:11" x14ac:dyDescent="0.2">
      <c r="A12" s="73" t="s">
        <v>118</v>
      </c>
      <c r="B12" s="84">
        <f>'Bulletin de salaire'!G43</f>
        <v>11365.02</v>
      </c>
    </row>
    <row r="13" spans="1:11" x14ac:dyDescent="0.2">
      <c r="A13" s="85" t="s">
        <v>163</v>
      </c>
      <c r="B13">
        <f>SUM(C2:C9)</f>
        <v>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vt:i4>
      </vt:variant>
    </vt:vector>
  </HeadingPairs>
  <TitlesOfParts>
    <vt:vector size="13" baseType="lpstr">
      <vt:lpstr>Start</vt:lpstr>
      <vt:lpstr>Rente alle Jahreseinkommen</vt:lpstr>
      <vt:lpstr>Rente Berechnung</vt:lpstr>
      <vt:lpstr>Rente Taux</vt:lpstr>
      <vt:lpstr>Bulletin de salaire</vt:lpstr>
      <vt:lpstr>Steuermodul 2024</vt:lpstr>
      <vt:lpstr>Credit d impot salaries 2017</vt:lpstr>
      <vt:lpstr>CIEnergie 07.2022-4.2023</vt:lpstr>
      <vt:lpstr>CIC2023</vt:lpstr>
      <vt:lpstr>CI-CO2</vt:lpstr>
      <vt:lpstr>DailyCheck</vt:lpstr>
      <vt:lpstr>'Bulletin de salaire'!Druckbereich</vt:lpstr>
      <vt:lpstr>DailyCheck!Druckbereich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Fränk Siebenaller</dc:creator>
  <cp:lastModifiedBy>Fränk Siebenaller</cp:lastModifiedBy>
  <cp:lastPrinted>2017-08-13T13:31:17Z</cp:lastPrinted>
  <dcterms:created xsi:type="dcterms:W3CDTF">2015-02-15T16:55:41Z</dcterms:created>
  <dcterms:modified xsi:type="dcterms:W3CDTF">2024-09-05T13:00:29Z</dcterms:modified>
</cp:coreProperties>
</file>